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599" activeTab="0"/>
  </bookViews>
  <sheets>
    <sheet name="Summary" sheetId="1" r:id="rId1"/>
    <sheet name="2002-03" sheetId="2" r:id="rId2"/>
    <sheet name="Berdie" sheetId="3" r:id="rId3"/>
    <sheet name="Barton" sheetId="4" r:id="rId4"/>
    <sheet name="Bigham" sheetId="5" r:id="rId5"/>
    <sheet name="Boyd" sheetId="6" r:id="rId6"/>
    <sheet name="Cadmus" sheetId="7" r:id="rId7"/>
    <sheet name="Coenen" sheetId="8" r:id="rId8"/>
    <sheet name="Conley" sheetId="9" r:id="rId9"/>
    <sheet name="Furrer" sheetId="10" r:id="rId10"/>
    <sheet name="Griswold" sheetId="11" r:id="rId11"/>
    <sheet name="Hunt" sheetId="12" r:id="rId12"/>
    <sheet name="Koziol" sheetId="13" r:id="rId13"/>
    <sheet name="Lichty" sheetId="14" r:id="rId14"/>
    <sheet name="Peterson" sheetId="15" r:id="rId15"/>
    <sheet name="Rittenhouse" sheetId="16" r:id="rId16"/>
    <sheet name="Warn" sheetId="17" r:id="rId17"/>
    <sheet name="WoodfordB" sheetId="18" r:id="rId18"/>
    <sheet name="WoodfordW" sheetId="19" r:id="rId19"/>
  </sheets>
  <definedNames/>
  <calcPr fullCalcOnLoad="1"/>
</workbook>
</file>

<file path=xl/sharedStrings.xml><?xml version="1.0" encoding="utf-8"?>
<sst xmlns="http://schemas.openxmlformats.org/spreadsheetml/2006/main" count="1581" uniqueCount="395">
  <si>
    <t>ACTIVE ROSTER</t>
  </si>
  <si>
    <t>Player</t>
  </si>
  <si>
    <t>Signed</t>
  </si>
  <si>
    <t>Salary</t>
  </si>
  <si>
    <t>INACTIVE CONTRACTS</t>
  </si>
  <si>
    <t>Team</t>
  </si>
  <si>
    <t>Acqrd</t>
  </si>
  <si>
    <t>Waive</t>
  </si>
  <si>
    <t>Rob Barton</t>
  </si>
  <si>
    <t>Cameron Boyd</t>
  </si>
  <si>
    <t>Dave Cadmus</t>
  </si>
  <si>
    <t>Pete Furrer</t>
  </si>
  <si>
    <t>Joel Griswold</t>
  </si>
  <si>
    <t>Hyrum Hunt</t>
  </si>
  <si>
    <t>Jon Peterson</t>
  </si>
  <si>
    <t>Jim Rittenhouse</t>
  </si>
  <si>
    <t>Ben Woodford</t>
  </si>
  <si>
    <t>Bill Woodford</t>
  </si>
  <si>
    <t>Tax</t>
  </si>
  <si>
    <t>Pos</t>
  </si>
  <si>
    <t>Thru</t>
  </si>
  <si>
    <t>Tom Garry</t>
  </si>
  <si>
    <t>WAIVED PLAYER CONTRACTS</t>
  </si>
  <si>
    <t>TRADE ADJUSTMENTS</t>
  </si>
  <si>
    <t>Year</t>
  </si>
  <si>
    <t>Adj.</t>
  </si>
  <si>
    <t>Players Traded</t>
  </si>
  <si>
    <t>TOTAL SALARY</t>
  </si>
  <si>
    <t>Gross</t>
  </si>
  <si>
    <t>Net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</si>
  <si>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</si>
  <si>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</si>
  <si>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</si>
  <si>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</si>
  <si>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</si>
  <si>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</si>
  <si>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</si>
  <si>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</si>
  <si>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</si>
  <si>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</si>
  <si>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</si>
  <si>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</si>
  <si>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Adjust</t>
  </si>
  <si>
    <t>2002-03</t>
  </si>
  <si>
    <t>2003-04</t>
  </si>
  <si>
    <t>2004-05</t>
  </si>
  <si>
    <t>2005-06</t>
  </si>
  <si>
    <t>2006-07</t>
  </si>
  <si>
    <t>2002-03 Summary</t>
  </si>
  <si>
    <t>Robert Conley</t>
  </si>
  <si>
    <t>Saumil Mehta</t>
  </si>
  <si>
    <t>Marshall Lichty</t>
  </si>
  <si>
    <t>Jackson Bigham</t>
  </si>
  <si>
    <t>Mike Mergens</t>
  </si>
  <si>
    <t>Walker, A</t>
  </si>
  <si>
    <t>F</t>
  </si>
  <si>
    <t>Bos</t>
  </si>
  <si>
    <t>FA</t>
  </si>
  <si>
    <t>Wallace, R</t>
  </si>
  <si>
    <t>Por</t>
  </si>
  <si>
    <t>Nowitzky, D</t>
  </si>
  <si>
    <t>Dal</t>
  </si>
  <si>
    <t>Garnett, K</t>
  </si>
  <si>
    <t>Min</t>
  </si>
  <si>
    <t>Davis, B</t>
  </si>
  <si>
    <t>G</t>
  </si>
  <si>
    <t>NO</t>
  </si>
  <si>
    <t>Finley, M</t>
  </si>
  <si>
    <t>LAC</t>
  </si>
  <si>
    <t>Was</t>
  </si>
  <si>
    <t>Stackhouse, J</t>
  </si>
  <si>
    <t>Van Horn, K</t>
  </si>
  <si>
    <t>Phi</t>
  </si>
  <si>
    <t>Lewis, R</t>
  </si>
  <si>
    <t>Sea</t>
  </si>
  <si>
    <t>Miller, B</t>
  </si>
  <si>
    <t>C</t>
  </si>
  <si>
    <t>Ind</t>
  </si>
  <si>
    <t>Mia</t>
  </si>
  <si>
    <t>Atl</t>
  </si>
  <si>
    <t>Miller, A</t>
  </si>
  <si>
    <t>Det</t>
  </si>
  <si>
    <t>Allen, R</t>
  </si>
  <si>
    <t>Mil</t>
  </si>
  <si>
    <t>McGrady, T</t>
  </si>
  <si>
    <t>Orl</t>
  </si>
  <si>
    <t>LAL</t>
  </si>
  <si>
    <t>NJ</t>
  </si>
  <si>
    <t>Martin, K</t>
  </si>
  <si>
    <t>Mashburn, J</t>
  </si>
  <si>
    <t>Robinson, G</t>
  </si>
  <si>
    <t>Francis, S</t>
  </si>
  <si>
    <t>Hou</t>
  </si>
  <si>
    <t>Richardson, J</t>
  </si>
  <si>
    <t>GS</t>
  </si>
  <si>
    <t>Payton, G</t>
  </si>
  <si>
    <t>Abdur-Rahim, S</t>
  </si>
  <si>
    <t>Carter, V</t>
  </si>
  <si>
    <t>Tor</t>
  </si>
  <si>
    <t>Brand, E</t>
  </si>
  <si>
    <t>O'Neal, J</t>
  </si>
  <si>
    <t>Pierce, P</t>
  </si>
  <si>
    <t>Duncan, T</t>
  </si>
  <si>
    <t>SA</t>
  </si>
  <si>
    <t>Marion, S</t>
  </si>
  <si>
    <t>Pho</t>
  </si>
  <si>
    <t>Iverson, A</t>
  </si>
  <si>
    <t>Wells, B</t>
  </si>
  <si>
    <t>Bibby, M</t>
  </si>
  <si>
    <t>Sac</t>
  </si>
  <si>
    <t>Harrington, A</t>
  </si>
  <si>
    <t>Curry, E</t>
  </si>
  <si>
    <t>Chi</t>
  </si>
  <si>
    <t>Mutombo, D</t>
  </si>
  <si>
    <t>Cle</t>
  </si>
  <si>
    <t>Mem</t>
  </si>
  <si>
    <t>Utah</t>
  </si>
  <si>
    <t>Hardaway, A</t>
  </si>
  <si>
    <t>Gasol, P</t>
  </si>
  <si>
    <t>Marbury, S</t>
  </si>
  <si>
    <t>Houston, A</t>
  </si>
  <si>
    <t>NY</t>
  </si>
  <si>
    <t>Sczerbiak, W</t>
  </si>
  <si>
    <t>Jamison, A</t>
  </si>
  <si>
    <t>Swift, S</t>
  </si>
  <si>
    <t>Marshall, D</t>
  </si>
  <si>
    <t>Kidd, J</t>
  </si>
  <si>
    <t>Stojakovic, P</t>
  </si>
  <si>
    <t>Ming, Y</t>
  </si>
  <si>
    <t>Butler, C</t>
  </si>
  <si>
    <t>Williams, Jay</t>
  </si>
  <si>
    <t>Wagner, D</t>
  </si>
  <si>
    <t>Ginobili, E</t>
  </si>
  <si>
    <t>Gooden, D</t>
  </si>
  <si>
    <t>Dunleavy, M</t>
  </si>
  <si>
    <t>Tskitishvili, N</t>
  </si>
  <si>
    <t>Den</t>
  </si>
  <si>
    <t>Kirilenko, A</t>
  </si>
  <si>
    <t>LaFrentz, R</t>
  </si>
  <si>
    <t>Rose, M</t>
  </si>
  <si>
    <t>Campbell, E</t>
  </si>
  <si>
    <t>Robinson, D</t>
  </si>
  <si>
    <t>Clark, K</t>
  </si>
  <si>
    <t>Hamilton, R</t>
  </si>
  <si>
    <t>Tinsley, J</t>
  </si>
  <si>
    <t>Woods, Q</t>
  </si>
  <si>
    <t>Hilario, M</t>
  </si>
  <si>
    <t>Stoudemire, A</t>
  </si>
  <si>
    <t>FC</t>
  </si>
  <si>
    <t>Jeffries, J</t>
  </si>
  <si>
    <t>Prince, T</t>
  </si>
  <si>
    <t>SF</t>
  </si>
  <si>
    <t>Artest, R</t>
  </si>
  <si>
    <t>Thomas, Ku</t>
  </si>
  <si>
    <t>Sprewell, L</t>
  </si>
  <si>
    <t>Miller, M</t>
  </si>
  <si>
    <t>Mobley, C</t>
  </si>
  <si>
    <t>SG</t>
  </si>
  <si>
    <t>Terry, J</t>
  </si>
  <si>
    <t>Howard, J</t>
  </si>
  <si>
    <t>Mohammed, N</t>
  </si>
  <si>
    <t>Camby, M</t>
  </si>
  <si>
    <t>McDyess, A</t>
  </si>
  <si>
    <t>Olowokandi, M</t>
  </si>
  <si>
    <t>Williams, Jason</t>
  </si>
  <si>
    <t>Rose, J</t>
  </si>
  <si>
    <t>Davis, Antonio</t>
  </si>
  <si>
    <t>Cassell, S</t>
  </si>
  <si>
    <t>Nesterovic, R</t>
  </si>
  <si>
    <t>Rebracca, Z</t>
  </si>
  <si>
    <t>Brown, K</t>
  </si>
  <si>
    <t>Collins, Jaron</t>
  </si>
  <si>
    <t>Johnson, Joe</t>
  </si>
  <si>
    <t>PG</t>
  </si>
  <si>
    <t>Snow, E</t>
  </si>
  <si>
    <t>Wilcox, C</t>
  </si>
  <si>
    <t>McKie, A</t>
  </si>
  <si>
    <t>Hudson, T</t>
  </si>
  <si>
    <t>Wesley, D</t>
  </si>
  <si>
    <t>Mercer, R</t>
  </si>
  <si>
    <t>Thomas, T</t>
  </si>
  <si>
    <t>Anderson, D</t>
  </si>
  <si>
    <t>Bradley, S</t>
  </si>
  <si>
    <t>Mason, D</t>
  </si>
  <si>
    <t>Ilgauskas, Z</t>
  </si>
  <si>
    <t>Radmonovic, V</t>
  </si>
  <si>
    <t>Turkoglu, H</t>
  </si>
  <si>
    <t>Davis, R</t>
  </si>
  <si>
    <t>Redd, M</t>
  </si>
  <si>
    <t>Maggette, C</t>
  </si>
  <si>
    <t>Jackson, B</t>
  </si>
  <si>
    <t>Dickerson, M</t>
  </si>
  <si>
    <t>Posey, J</t>
  </si>
  <si>
    <t>MacCulloch, T</t>
  </si>
  <si>
    <t>Delk, T</t>
  </si>
  <si>
    <t>PF</t>
  </si>
  <si>
    <t>GF</t>
  </si>
  <si>
    <t>Bender, J</t>
  </si>
  <si>
    <t>Ely, M</t>
  </si>
  <si>
    <t>Welsch, J</t>
  </si>
  <si>
    <t>George, D</t>
  </si>
  <si>
    <t>Najera, E</t>
  </si>
  <si>
    <t>Giricek, G</t>
  </si>
  <si>
    <t>Barry, B</t>
  </si>
  <si>
    <t>Parker, T</t>
  </si>
  <si>
    <t>Hughes, L</t>
  </si>
  <si>
    <t>Harpring, M</t>
  </si>
  <si>
    <t>Kittles, K</t>
  </si>
  <si>
    <t>Griffin, E</t>
  </si>
  <si>
    <t>Mihm, C</t>
  </si>
  <si>
    <t>Christie, D</t>
  </si>
  <si>
    <t>Dampier, E</t>
  </si>
  <si>
    <t>Miles, D</t>
  </si>
  <si>
    <t>HOOPS  TEAM  SALARIES</t>
  </si>
  <si>
    <t>Fall Tourney</t>
  </si>
  <si>
    <t>Winter Tourney</t>
  </si>
  <si>
    <t>RFA</t>
  </si>
  <si>
    <t>Total Points Prize Distribution</t>
  </si>
  <si>
    <t>Updated April 23, 2003 at 10 PM CT</t>
  </si>
  <si>
    <t>2007-08</t>
  </si>
  <si>
    <t>Summary</t>
  </si>
  <si>
    <t>Total Points</t>
  </si>
  <si>
    <t>7th</t>
  </si>
  <si>
    <t>8th</t>
  </si>
  <si>
    <t>9th</t>
  </si>
  <si>
    <t>10th</t>
  </si>
  <si>
    <t>Paul Koziol</t>
  </si>
  <si>
    <t>Ray Berdie</t>
  </si>
  <si>
    <t>Rob Warn</t>
  </si>
  <si>
    <t>Tim Coenen</t>
  </si>
  <si>
    <t>Jones, E</t>
  </si>
  <si>
    <t>Webber, C</t>
  </si>
  <si>
    <t>Divac, V</t>
  </si>
  <si>
    <t>Jefferson, R</t>
  </si>
  <si>
    <t>Ratliff, T</t>
  </si>
  <si>
    <t>Grant, B</t>
  </si>
  <si>
    <t>Murphy, T</t>
  </si>
  <si>
    <t>Nash, S</t>
  </si>
  <si>
    <t>James, L</t>
  </si>
  <si>
    <t>Wade, D</t>
  </si>
  <si>
    <t>Thomas, Ke</t>
  </si>
  <si>
    <t>Banks, M</t>
  </si>
  <si>
    <t>Milicic, D</t>
  </si>
  <si>
    <t>Bosh, C</t>
  </si>
  <si>
    <t>Ford, TJ</t>
  </si>
  <si>
    <t>Anthony, C</t>
  </si>
  <si>
    <t>Chandler, T</t>
  </si>
  <si>
    <t>Baker, V</t>
  </si>
  <si>
    <t>Mason, A</t>
  </si>
  <si>
    <t>Peterson, M</t>
  </si>
  <si>
    <t>Arenas, G</t>
  </si>
  <si>
    <t>Jackson, S</t>
  </si>
  <si>
    <t>Malone, K</t>
  </si>
  <si>
    <t>Bryant, K</t>
  </si>
  <si>
    <t>Boozer, C</t>
  </si>
  <si>
    <t>Crawford, J</t>
  </si>
  <si>
    <t>Odom, L</t>
  </si>
  <si>
    <t>Van Exel, N</t>
  </si>
  <si>
    <t>Eisley, H</t>
  </si>
  <si>
    <t>Haywood, B</t>
  </si>
  <si>
    <t>Brown, PJ</t>
  </si>
  <si>
    <t>Lampe, M</t>
  </si>
  <si>
    <t>Pietrus, M</t>
  </si>
  <si>
    <t>Pavlovic, A</t>
  </si>
  <si>
    <t>Gaines, R</t>
  </si>
  <si>
    <t>Hayes, J</t>
  </si>
  <si>
    <t>Kaman, C</t>
  </si>
  <si>
    <t>Hinrich, K</t>
  </si>
  <si>
    <t>Sweetney, M</t>
  </si>
  <si>
    <t>Bell, T</t>
  </si>
  <si>
    <t>Billups, C</t>
  </si>
  <si>
    <t>Richardson, Q</t>
  </si>
  <si>
    <t>Robinson, C</t>
  </si>
  <si>
    <t>Coleman, D</t>
  </si>
  <si>
    <t>Stoudamire, D</t>
  </si>
  <si>
    <t>Miller, R</t>
  </si>
  <si>
    <t>Davis, D</t>
  </si>
  <si>
    <t>Jaric, M</t>
  </si>
  <si>
    <t>Wright, L</t>
  </si>
  <si>
    <t>Wallace, B</t>
  </si>
  <si>
    <t>Mourning, A</t>
  </si>
  <si>
    <t>White, R</t>
  </si>
  <si>
    <t>Taylor, M</t>
  </si>
  <si>
    <t>Grant, B / Miller, A</t>
  </si>
  <si>
    <t>Miller, A / Grant, B</t>
  </si>
  <si>
    <t>Gadzuric, D</t>
  </si>
  <si>
    <t>Armstrong, D</t>
  </si>
  <si>
    <t>Fortson, D</t>
  </si>
  <si>
    <t>Battier, S</t>
  </si>
  <si>
    <t>Fizer, M</t>
  </si>
  <si>
    <t>Randolph, Z</t>
  </si>
  <si>
    <t>Fisher, D</t>
  </si>
  <si>
    <t>Magloire, J</t>
  </si>
  <si>
    <t>Green, W</t>
  </si>
  <si>
    <t>West, D</t>
  </si>
  <si>
    <t>Diaw, B</t>
  </si>
  <si>
    <t>Ridnour, L</t>
  </si>
  <si>
    <t>Cabarkapa, Z</t>
  </si>
  <si>
    <t>Smith, Joe</t>
  </si>
  <si>
    <t>Okur, M</t>
  </si>
  <si>
    <t>Parker, S</t>
  </si>
  <si>
    <t>Allen, M</t>
  </si>
  <si>
    <t>Butler, R</t>
  </si>
  <si>
    <t>Ostertag, G</t>
  </si>
  <si>
    <t>Pippen, S</t>
  </si>
  <si>
    <t>McCoy, J</t>
  </si>
  <si>
    <t>Laettner, C</t>
  </si>
  <si>
    <t>Drobnjak, P</t>
  </si>
  <si>
    <t>Arroyo, C</t>
  </si>
  <si>
    <t>Jackson, Marc</t>
  </si>
  <si>
    <t>Foyle, A</t>
  </si>
  <si>
    <t>James, J</t>
  </si>
  <si>
    <t>Williams, Jerome</t>
  </si>
  <si>
    <t>Williams, Alvin</t>
  </si>
  <si>
    <t>Collison, N</t>
  </si>
  <si>
    <t>Pachulia, Z</t>
  </si>
  <si>
    <t>Johnsen, B</t>
  </si>
  <si>
    <t>Booth, C</t>
  </si>
  <si>
    <t>Lue, T</t>
  </si>
  <si>
    <t>Battie, T</t>
  </si>
  <si>
    <t>Pollard, S</t>
  </si>
  <si>
    <t>Jones, J</t>
  </si>
  <si>
    <t>Garrity, P</t>
  </si>
  <si>
    <t>Stevenson, D</t>
  </si>
  <si>
    <t>Stepania, V</t>
  </si>
  <si>
    <t>Williams, S</t>
  </si>
  <si>
    <t>Skinner, B</t>
  </si>
  <si>
    <t>Claxton, S</t>
  </si>
  <si>
    <t>Cato, K</t>
  </si>
  <si>
    <t>Johnson, E</t>
  </si>
  <si>
    <t>Dooling, K</t>
  </si>
  <si>
    <t>Lenard, V</t>
  </si>
  <si>
    <t>Voskuhl, J</t>
  </si>
  <si>
    <t>Kukoc, T</t>
  </si>
  <si>
    <t>James, M</t>
  </si>
  <si>
    <t>Strickland, E</t>
  </si>
  <si>
    <t>Haslem, U</t>
  </si>
  <si>
    <t>Thomas, E</t>
  </si>
  <si>
    <t>McInnis, J</t>
  </si>
  <si>
    <t>Bell, Raja</t>
  </si>
  <si>
    <t>Glover, D</t>
  </si>
  <si>
    <t>House, E</t>
  </si>
  <si>
    <t>Cheney, C</t>
  </si>
  <si>
    <t>Murray, R</t>
  </si>
  <si>
    <t>Lynch, G</t>
  </si>
  <si>
    <t>Murray, L</t>
  </si>
  <si>
    <t>Trent, G</t>
  </si>
  <si>
    <t>Outlaw, B</t>
  </si>
  <si>
    <t>Andersen, C</t>
  </si>
  <si>
    <t>Ward, C</t>
  </si>
  <si>
    <t>Jackson, J</t>
  </si>
  <si>
    <t>Collins, Jason</t>
  </si>
  <si>
    <t>Traylor, R</t>
  </si>
  <si>
    <t>Foster, J</t>
  </si>
  <si>
    <t>Boykins, E</t>
  </si>
  <si>
    <t>Knight, B</t>
  </si>
  <si>
    <t>Williams, A</t>
  </si>
  <si>
    <t>Bowen, B</t>
  </si>
  <si>
    <t>Diop, D</t>
  </si>
  <si>
    <t>White, J</t>
  </si>
  <si>
    <t>Tsakalidis, J</t>
  </si>
  <si>
    <t>Palacio, M</t>
  </si>
  <si>
    <t>Blount, M</t>
  </si>
  <si>
    <t>Cardinal, B</t>
  </si>
  <si>
    <t>Evans, R</t>
  </si>
  <si>
    <t>Dalembert, S</t>
  </si>
  <si>
    <t>Williams, E</t>
  </si>
  <si>
    <t>Lopez, R</t>
  </si>
  <si>
    <t>Elson, F</t>
  </si>
  <si>
    <t>Cassell / Marbury</t>
  </si>
  <si>
    <t>Anderson, S</t>
  </si>
  <si>
    <t>Anderson, C</t>
  </si>
  <si>
    <t>Watson, E</t>
  </si>
  <si>
    <t>Medvedenko, S</t>
  </si>
  <si>
    <t>Barbosa, L</t>
  </si>
  <si>
    <t>McCarty, W</t>
  </si>
  <si>
    <t>Daniels, A</t>
  </si>
  <si>
    <t>Sczerbiak</t>
  </si>
  <si>
    <t>Alston, R</t>
  </si>
  <si>
    <t>Doleac, M</t>
  </si>
  <si>
    <t>Dixon, J</t>
  </si>
  <si>
    <t>Williamson, C</t>
  </si>
  <si>
    <t>Przybilla, J</t>
  </si>
  <si>
    <t>O'Neal, S</t>
  </si>
  <si>
    <t>Collier, J</t>
  </si>
  <si>
    <t>Horry, R</t>
  </si>
  <si>
    <t>Crawford, C</t>
  </si>
  <si>
    <t>Sura, B</t>
  </si>
  <si>
    <t>Potapenko, V</t>
  </si>
  <si>
    <t>Rogers, R</t>
  </si>
  <si>
    <t>Updated April 26, 2004 at 10 PM CT</t>
  </si>
  <si>
    <t>Points</t>
  </si>
  <si>
    <t>F Tourn</t>
  </si>
  <si>
    <t>W Tourn</t>
  </si>
  <si>
    <t>Win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</si>
</sst>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0_);_(* \(#,##0.000\);_(* &quot;-&quot;??_);_(@_)"/>
    <numFmt numFmtId="180" formatCode="_(* #,##0.0000_);_(* \(#,##0.0000\);_(* &quot;-&quot;??_);_(@_)"/>
  </numFmts>
  <fonts count="7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b/>
      <sz val="12"/>
      <color indexed="12"/>
      <name val="Wide Latin"/>
      <family val="1"/>
    </font>
    <font>
      <b/>
      <sz val="12"/>
      <color indexed="10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63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4"/>
      <color indexed="53"/>
      <name val="Wide Latin"/>
      <family val="1"/>
    </font>
    <font>
      <b/>
      <sz val="12"/>
      <color indexed="56"/>
      <name val="Copperplate Gothic Bold"/>
      <family val="2"/>
    </font>
    <font>
      <b/>
      <sz val="12"/>
      <color indexed="56"/>
      <name val="Wide Latin"/>
      <family val="1"/>
    </font>
    <font>
      <b/>
      <sz val="12"/>
      <color indexed="53"/>
      <name val="Wide Latin"/>
      <family val="1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53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2"/>
      <color indexed="56"/>
      <name val="Calibri"/>
      <family val="2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44" fontId="15" fillId="0" borderId="0" xfId="44" applyFont="1" applyAlignment="1">
      <alignment/>
    </xf>
    <xf numFmtId="0" fontId="16" fillId="33" borderId="0" xfId="0" applyFont="1" applyFill="1" applyAlignment="1">
      <alignment horizontal="right"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44" fontId="1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74" fontId="17" fillId="0" borderId="0" xfId="42" applyNumberFormat="1" applyFont="1" applyAlignment="1">
      <alignment/>
    </xf>
    <xf numFmtId="43" fontId="17" fillId="0" borderId="0" xfId="42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4" fontId="19" fillId="0" borderId="0" xfId="42" applyNumberFormat="1" applyFont="1" applyAlignment="1">
      <alignment/>
    </xf>
    <xf numFmtId="43" fontId="19" fillId="0" borderId="0" xfId="42" applyFont="1" applyAlignment="1">
      <alignment/>
    </xf>
    <xf numFmtId="0" fontId="19" fillId="0" borderId="0" xfId="0" applyFont="1" applyAlignment="1">
      <alignment/>
    </xf>
    <xf numFmtId="44" fontId="19" fillId="0" borderId="0" xfId="44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43" fontId="19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4" fontId="20" fillId="0" borderId="0" xfId="44" applyFont="1" applyAlignment="1">
      <alignment horizontal="center"/>
    </xf>
    <xf numFmtId="43" fontId="0" fillId="0" borderId="0" xfId="0" applyNumberFormat="1" applyAlignment="1">
      <alignment/>
    </xf>
    <xf numFmtId="43" fontId="17" fillId="0" borderId="0" xfId="42" applyFont="1" applyAlignment="1">
      <alignment horizontal="center"/>
    </xf>
    <xf numFmtId="44" fontId="0" fillId="0" borderId="0" xfId="44" applyFont="1" applyAlignment="1" applyProtection="1">
      <alignment/>
      <protection locked="0"/>
    </xf>
    <xf numFmtId="0" fontId="22" fillId="33" borderId="0" xfId="0" applyFont="1" applyFill="1" applyAlignment="1">
      <alignment/>
    </xf>
    <xf numFmtId="0" fontId="24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174" fontId="55" fillId="0" borderId="0" xfId="42" applyNumberFormat="1" applyFont="1" applyAlignment="1">
      <alignment/>
    </xf>
    <xf numFmtId="43" fontId="55" fillId="0" borderId="0" xfId="42" applyFont="1" applyAlignment="1">
      <alignment/>
    </xf>
    <xf numFmtId="43" fontId="55" fillId="0" borderId="0" xfId="0" applyNumberFormat="1" applyFont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Alignment="1" quotePrefix="1">
      <alignment/>
    </xf>
    <xf numFmtId="44" fontId="55" fillId="0" borderId="0" xfId="44" applyFont="1" applyAlignment="1">
      <alignment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/>
    </xf>
    <xf numFmtId="174" fontId="55" fillId="0" borderId="10" xfId="42" applyNumberFormat="1" applyFont="1" applyBorder="1" applyAlignment="1">
      <alignment/>
    </xf>
    <xf numFmtId="43" fontId="55" fillId="0" borderId="10" xfId="42" applyFont="1" applyBorder="1" applyAlignment="1">
      <alignment/>
    </xf>
    <xf numFmtId="43" fontId="55" fillId="0" borderId="10" xfId="0" applyNumberFormat="1" applyFont="1" applyBorder="1" applyAlignment="1">
      <alignment/>
    </xf>
    <xf numFmtId="44" fontId="56" fillId="0" borderId="0" xfId="44" applyFont="1" applyAlignment="1">
      <alignment horizontal="center"/>
    </xf>
    <xf numFmtId="0" fontId="58" fillId="0" borderId="0" xfId="0" applyFont="1" applyAlignment="1">
      <alignment/>
    </xf>
    <xf numFmtId="44" fontId="58" fillId="0" borderId="0" xfId="44" applyFont="1" applyAlignment="1">
      <alignment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43" fontId="48" fillId="0" borderId="0" xfId="42" applyFont="1" applyAlignment="1">
      <alignment/>
    </xf>
    <xf numFmtId="174" fontId="48" fillId="0" borderId="0" xfId="42" applyNumberFormat="1" applyFont="1" applyAlignment="1">
      <alignment/>
    </xf>
    <xf numFmtId="43" fontId="48" fillId="0" borderId="0" xfId="42" applyFont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43" fontId="48" fillId="0" borderId="0" xfId="0" applyNumberFormat="1" applyFont="1" applyAlignment="1">
      <alignment/>
    </xf>
    <xf numFmtId="0" fontId="59" fillId="0" borderId="0" xfId="0" applyFont="1" applyAlignment="1">
      <alignment/>
    </xf>
    <xf numFmtId="174" fontId="51" fillId="33" borderId="0" xfId="42" applyNumberFormat="1" applyFont="1" applyFill="1" applyAlignment="1">
      <alignment horizontal="center"/>
    </xf>
    <xf numFmtId="174" fontId="49" fillId="0" borderId="0" xfId="42" applyNumberFormat="1" applyFont="1" applyAlignment="1">
      <alignment/>
    </xf>
    <xf numFmtId="0" fontId="61" fillId="33" borderId="0" xfId="0" applyFont="1" applyFill="1" applyAlignment="1">
      <alignment horizontal="right"/>
    </xf>
    <xf numFmtId="43" fontId="57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4" fontId="56" fillId="0" borderId="0" xfId="44" applyFont="1" applyAlignment="1">
      <alignment horizontal="center"/>
    </xf>
    <xf numFmtId="0" fontId="60" fillId="33" borderId="0" xfId="0" applyFont="1" applyFill="1" applyAlignment="1">
      <alignment horizontal="center"/>
    </xf>
    <xf numFmtId="43" fontId="58" fillId="0" borderId="0" xfId="42" applyFont="1" applyAlignment="1">
      <alignment horizontal="center"/>
    </xf>
    <xf numFmtId="43" fontId="57" fillId="0" borderId="0" xfId="42" applyFont="1" applyAlignment="1">
      <alignment horizontal="center"/>
    </xf>
    <xf numFmtId="43" fontId="17" fillId="0" borderId="0" xfId="42" applyFont="1" applyAlignment="1">
      <alignment horizontal="center"/>
    </xf>
    <xf numFmtId="0" fontId="23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44" fontId="20" fillId="0" borderId="0" xfId="44" applyFont="1" applyAlignment="1">
      <alignment horizontal="center"/>
    </xf>
    <xf numFmtId="43" fontId="15" fillId="0" borderId="0" xfId="42" applyFont="1" applyAlignment="1">
      <alignment horizontal="center"/>
    </xf>
    <xf numFmtId="43" fontId="13" fillId="0" borderId="0" xfId="42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71" customWidth="1"/>
    <col min="2" max="2" width="3.7109375" style="71" customWidth="1"/>
    <col min="3" max="3" width="6.7109375" style="71" customWidth="1"/>
    <col min="4" max="4" width="7.7109375" style="71" customWidth="1"/>
    <col min="5" max="5" width="6.7109375" style="71" customWidth="1"/>
    <col min="6" max="7" width="7.7109375" style="71" customWidth="1"/>
    <col min="8" max="8" width="9.28125" style="71" customWidth="1"/>
    <col min="9" max="9" width="1.7109375" style="71" customWidth="1"/>
    <col min="10" max="10" width="6.7109375" style="71" customWidth="1"/>
    <col min="11" max="11" width="7.7109375" style="71" customWidth="1"/>
    <col min="12" max="12" width="1.7109375" style="71" customWidth="1"/>
    <col min="13" max="13" width="6.7109375" style="71" customWidth="1"/>
    <col min="14" max="14" width="7.7109375" style="71" customWidth="1"/>
    <col min="15" max="15" width="1.7109375" style="71" customWidth="1"/>
    <col min="16" max="16" width="6.7109375" style="71" customWidth="1"/>
    <col min="17" max="17" width="7.7109375" style="71" customWidth="1"/>
    <col min="18" max="18" width="1.7109375" style="71" customWidth="1"/>
    <col min="19" max="19" width="6.7109375" style="71" customWidth="1"/>
    <col min="20" max="20" width="7.7109375" style="71" customWidth="1"/>
    <col min="21" max="21" width="3.7109375" style="71" customWidth="1"/>
    <col min="22" max="24" width="9.140625" style="71" customWidth="1"/>
    <col min="25" max="25" width="7.140625" style="102" customWidth="1"/>
    <col min="26" max="16384" width="9.140625" style="71" customWidth="1"/>
  </cols>
  <sheetData>
    <row r="1" spans="1:20" ht="18.75">
      <c r="A1" s="69" t="s">
        <v>213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10" t="s">
        <v>390</v>
      </c>
      <c r="Q1" s="110"/>
      <c r="R1" s="110"/>
      <c r="S1" s="110"/>
      <c r="T1" s="110"/>
    </row>
    <row r="2" ht="7.5" customHeight="1"/>
    <row r="3" spans="3:25" s="72" customFormat="1" ht="15" customHeight="1">
      <c r="C3" s="114" t="s">
        <v>44</v>
      </c>
      <c r="D3" s="114"/>
      <c r="E3" s="114"/>
      <c r="F3" s="114"/>
      <c r="G3" s="114"/>
      <c r="H3" s="114"/>
      <c r="I3" s="73"/>
      <c r="J3" s="114" t="s">
        <v>45</v>
      </c>
      <c r="K3" s="114"/>
      <c r="L3" s="73"/>
      <c r="M3" s="114" t="s">
        <v>46</v>
      </c>
      <c r="N3" s="114"/>
      <c r="O3" s="73"/>
      <c r="P3" s="114" t="s">
        <v>47</v>
      </c>
      <c r="Q3" s="114"/>
      <c r="R3" s="73"/>
      <c r="S3" s="114" t="s">
        <v>219</v>
      </c>
      <c r="T3" s="114"/>
      <c r="V3" s="74" t="s">
        <v>391</v>
      </c>
      <c r="W3" s="74" t="s">
        <v>392</v>
      </c>
      <c r="X3" s="74" t="s">
        <v>393</v>
      </c>
      <c r="Y3" s="108" t="s">
        <v>394</v>
      </c>
    </row>
    <row r="4" spans="1:25" s="72" customFormat="1" ht="7.5" customHeight="1">
      <c r="A4" s="75"/>
      <c r="B4" s="75"/>
      <c r="C4" s="76"/>
      <c r="D4" s="76"/>
      <c r="E4" s="76"/>
      <c r="F4" s="76"/>
      <c r="G4" s="76"/>
      <c r="H4" s="76"/>
      <c r="I4" s="73"/>
      <c r="J4" s="77"/>
      <c r="K4" s="77"/>
      <c r="L4" s="73"/>
      <c r="M4" s="76"/>
      <c r="N4" s="76"/>
      <c r="O4" s="73"/>
      <c r="P4" s="77"/>
      <c r="Q4" s="77"/>
      <c r="R4" s="73"/>
      <c r="S4" s="76"/>
      <c r="T4" s="76"/>
      <c r="V4" s="78"/>
      <c r="W4" s="78"/>
      <c r="X4" s="78"/>
      <c r="Y4" s="109"/>
    </row>
    <row r="5" spans="1:25" s="80" customFormat="1" ht="15">
      <c r="A5" s="79" t="s">
        <v>5</v>
      </c>
      <c r="C5" s="81" t="s">
        <v>2</v>
      </c>
      <c r="D5" s="81" t="s">
        <v>28</v>
      </c>
      <c r="E5" s="81" t="s">
        <v>42</v>
      </c>
      <c r="F5" s="81" t="s">
        <v>29</v>
      </c>
      <c r="G5" s="81" t="s">
        <v>18</v>
      </c>
      <c r="H5" s="81" t="s">
        <v>30</v>
      </c>
      <c r="I5" s="82"/>
      <c r="J5" s="81" t="s">
        <v>2</v>
      </c>
      <c r="K5" s="81" t="s">
        <v>3</v>
      </c>
      <c r="L5" s="82"/>
      <c r="M5" s="81" t="s">
        <v>2</v>
      </c>
      <c r="N5" s="81" t="s">
        <v>3</v>
      </c>
      <c r="O5" s="82"/>
      <c r="P5" s="81" t="s">
        <v>2</v>
      </c>
      <c r="Q5" s="81" t="s">
        <v>3</v>
      </c>
      <c r="R5" s="82"/>
      <c r="S5" s="81" t="s">
        <v>2</v>
      </c>
      <c r="T5" s="81" t="s">
        <v>3</v>
      </c>
      <c r="V5" s="83"/>
      <c r="W5" s="83"/>
      <c r="X5" s="83"/>
      <c r="Y5" s="85"/>
    </row>
    <row r="6" spans="22:25" s="72" customFormat="1" ht="7.5" customHeight="1">
      <c r="V6" s="78"/>
      <c r="W6" s="78"/>
      <c r="X6" s="78"/>
      <c r="Y6" s="109"/>
    </row>
    <row r="7" spans="1:25" s="80" customFormat="1" ht="15" customHeight="1">
      <c r="A7" s="84" t="s">
        <v>52</v>
      </c>
      <c r="C7" s="85">
        <f>+COUNTIF(Bigham!$I$5:$I$18,"&gt;0")</f>
        <v>14</v>
      </c>
      <c r="D7" s="86">
        <f>Bigham!I48</f>
        <v>79.69999999999999</v>
      </c>
      <c r="E7" s="86">
        <v>0</v>
      </c>
      <c r="F7" s="86">
        <f aca="true" t="shared" si="0" ref="F7:F23">+D7-E7</f>
        <v>79.69999999999999</v>
      </c>
      <c r="G7" s="86">
        <f aca="true" t="shared" si="1" ref="G7:G23">+ROUND(IF(F7&gt;($F$28*1.2),(9*(F7-1.2*$F$28)+$F$28*0.5),IF(F7&gt;($F$28*1.1),(4*(F7-1.1*$F$28)+$F$28*0.1),IF(F7&gt;$F$28,F7-$F$28,0))),2)</f>
        <v>150.8</v>
      </c>
      <c r="H7" s="87">
        <f aca="true" t="shared" si="2" ref="H7:H23">+F7+G7</f>
        <v>230.5</v>
      </c>
      <c r="J7" s="85">
        <f>+COUNTIF(Bigham!$J$5:$J$18,"&gt;0")</f>
        <v>6</v>
      </c>
      <c r="K7" s="86">
        <f>Bigham!J48</f>
        <v>55.35</v>
      </c>
      <c r="M7" s="85">
        <f>+COUNTIF(Bigham!$K$5:$K$18,"&gt;0")</f>
        <v>4</v>
      </c>
      <c r="N7" s="86">
        <f>Bigham!K48</f>
        <v>43.35</v>
      </c>
      <c r="P7" s="85">
        <f>+COUNTIF(Bigham!$L$5:$L$18,"&gt;0")</f>
        <v>3</v>
      </c>
      <c r="Q7" s="86">
        <f>Bigham!L48</f>
        <v>31.9</v>
      </c>
      <c r="S7" s="85">
        <f>+COUNTIF(Bigham!$M$5:$M$18,"&gt;0")</f>
        <v>1</v>
      </c>
      <c r="T7" s="86">
        <f>Bigham!M48</f>
        <v>6.4</v>
      </c>
      <c r="V7" s="88">
        <v>3</v>
      </c>
      <c r="W7" s="88">
        <v>3</v>
      </c>
      <c r="X7" s="88"/>
      <c r="Y7" s="85">
        <f>K30+Q31</f>
        <v>195</v>
      </c>
    </row>
    <row r="8" spans="1:25" s="80" customFormat="1" ht="15" customHeight="1">
      <c r="A8" s="84" t="s">
        <v>49</v>
      </c>
      <c r="C8" s="85">
        <f>+COUNTIF(Conley!$I$5:$I$18,"&gt;0")</f>
        <v>14</v>
      </c>
      <c r="D8" s="86">
        <f>+Conley!I43</f>
        <v>71.70000000000002</v>
      </c>
      <c r="E8" s="86">
        <v>0</v>
      </c>
      <c r="F8" s="86">
        <f t="shared" si="0"/>
        <v>71.70000000000002</v>
      </c>
      <c r="G8" s="86">
        <f t="shared" si="1"/>
        <v>78.8</v>
      </c>
      <c r="H8" s="87">
        <f t="shared" si="2"/>
        <v>150.5</v>
      </c>
      <c r="J8" s="85">
        <f>+COUNTIF(Conley!$J$5:$J$18,"&gt;0")</f>
        <v>11</v>
      </c>
      <c r="K8" s="86">
        <f>+Conley!J43</f>
        <v>57.00000000000001</v>
      </c>
      <c r="M8" s="85">
        <f>+COUNTIF(Conley!$K$5:$K$18,"&gt;0")</f>
        <v>5</v>
      </c>
      <c r="N8" s="86">
        <f>+Conley!K43</f>
        <v>27.400000000000002</v>
      </c>
      <c r="P8" s="85">
        <f>+COUNTIF(Conley!$L$5:$L$18,"&gt;0")</f>
        <v>5</v>
      </c>
      <c r="Q8" s="86">
        <f>+Conley!L43</f>
        <v>27.400000000000002</v>
      </c>
      <c r="S8" s="85">
        <f>+COUNTIF(Conley!$M$5:$M$18,"&gt;0")</f>
        <v>2</v>
      </c>
      <c r="T8" s="86">
        <f>+Conley!M43</f>
        <v>5.6</v>
      </c>
      <c r="V8" s="88">
        <v>1</v>
      </c>
      <c r="W8" s="88"/>
      <c r="X8" s="88">
        <v>1</v>
      </c>
      <c r="Y8" s="85">
        <f>K28+T29</f>
        <v>469</v>
      </c>
    </row>
    <row r="9" spans="1:25" s="80" customFormat="1" ht="15" customHeight="1">
      <c r="A9" s="84" t="s">
        <v>229</v>
      </c>
      <c r="C9" s="85">
        <f>+COUNTIF(Coenen!$I$5:$I$18,"&gt;0")</f>
        <v>14</v>
      </c>
      <c r="D9" s="86">
        <f>Coenen!I46</f>
        <v>68.70000000000002</v>
      </c>
      <c r="E9" s="86">
        <v>0</v>
      </c>
      <c r="F9" s="86">
        <f>+D9-E9</f>
        <v>68.70000000000002</v>
      </c>
      <c r="G9" s="86">
        <f t="shared" si="1"/>
        <v>51.8</v>
      </c>
      <c r="H9" s="87">
        <f>+F9+G9</f>
        <v>120.50000000000001</v>
      </c>
      <c r="J9" s="85">
        <f>+COUNTIF(Coenen!$J$5:$J$18,"&gt;0")</f>
        <v>7</v>
      </c>
      <c r="K9" s="86">
        <f>Coenen!J46</f>
        <v>48.75000000000001</v>
      </c>
      <c r="M9" s="85">
        <f>+COUNTIF(Coenen!$K$5:$K$18,"&gt;0")</f>
        <v>4</v>
      </c>
      <c r="N9" s="86">
        <f>Coenen!K46</f>
        <v>29.450000000000003</v>
      </c>
      <c r="P9" s="85">
        <f>+COUNTIF(Coenen!$L$5:$L$18,"&gt;0")</f>
        <v>4</v>
      </c>
      <c r="Q9" s="86">
        <f>Coenen!L46</f>
        <v>29.450000000000003</v>
      </c>
      <c r="S9" s="85">
        <f>+COUNTIF(Coenen!$M$5:$M$18,"&gt;0")</f>
        <v>3</v>
      </c>
      <c r="T9" s="86">
        <f>Coenen!M46</f>
        <v>16.3</v>
      </c>
      <c r="V9" s="88"/>
      <c r="W9" s="88"/>
      <c r="X9" s="88"/>
      <c r="Y9" s="85"/>
    </row>
    <row r="10" spans="1:25" s="80" customFormat="1" ht="15" customHeight="1">
      <c r="A10" s="84" t="s">
        <v>226</v>
      </c>
      <c r="B10" s="89"/>
      <c r="C10" s="85">
        <f>+COUNTIF(Koziol!$I$5:$I$18,"&gt;0")</f>
        <v>14</v>
      </c>
      <c r="D10" s="86">
        <f>Koziol!I43</f>
        <v>65.85</v>
      </c>
      <c r="E10" s="86">
        <v>0</v>
      </c>
      <c r="F10" s="86">
        <f t="shared" si="0"/>
        <v>65.85</v>
      </c>
      <c r="G10" s="86">
        <f t="shared" si="1"/>
        <v>26.9</v>
      </c>
      <c r="H10" s="87">
        <f t="shared" si="2"/>
        <v>92.75</v>
      </c>
      <c r="J10" s="85">
        <f>+COUNTIF(Koziol!$J$5:$J$18,"&gt;0")</f>
        <v>11</v>
      </c>
      <c r="K10" s="86">
        <f>Koziol!J43</f>
        <v>56.300000000000004</v>
      </c>
      <c r="M10" s="85">
        <f>+COUNTIF(Koziol!$K$5:$K$18,"&gt;0")</f>
        <v>7</v>
      </c>
      <c r="N10" s="86">
        <f>Koziol!K43</f>
        <v>46.800000000000004</v>
      </c>
      <c r="P10" s="85">
        <f>+COUNTIF(Koziol!$L$5:$L$18,"&gt;0")</f>
        <v>6</v>
      </c>
      <c r="Q10" s="86">
        <f>Koziol!L43</f>
        <v>40</v>
      </c>
      <c r="S10" s="85">
        <f>+COUNTIF(Koziol!$M$5:$M$18,"&gt;0")</f>
        <v>1</v>
      </c>
      <c r="T10" s="86">
        <f>Koziol!M43</f>
        <v>2.5</v>
      </c>
      <c r="V10" s="88"/>
      <c r="W10" s="88"/>
      <c r="X10" s="88"/>
      <c r="Y10" s="85"/>
    </row>
    <row r="11" spans="1:25" s="80" customFormat="1" ht="15" customHeight="1">
      <c r="A11" s="84" t="s">
        <v>17</v>
      </c>
      <c r="C11" s="85">
        <f>+COUNTIF(WoodfordW!$I$5:$I$18,"&gt;0")</f>
        <v>14</v>
      </c>
      <c r="D11" s="86">
        <f>WoodfordW!I43</f>
        <v>64.75</v>
      </c>
      <c r="E11" s="86">
        <v>0</v>
      </c>
      <c r="F11" s="86">
        <f t="shared" si="0"/>
        <v>64.75</v>
      </c>
      <c r="G11" s="86">
        <f t="shared" si="1"/>
        <v>22.5</v>
      </c>
      <c r="H11" s="87">
        <f t="shared" si="2"/>
        <v>87.25</v>
      </c>
      <c r="J11" s="85">
        <f>+COUNTIF(WoodfordW!$J$5:$J$18,"&gt;0")</f>
        <v>10</v>
      </c>
      <c r="K11" s="86">
        <f>WoodfordW!J43</f>
        <v>50.2</v>
      </c>
      <c r="M11" s="85">
        <f>+COUNTIF(WoodfordW!$K$5:$K$18,"&gt;0")</f>
        <v>8</v>
      </c>
      <c r="N11" s="86">
        <f>WoodfordW!K43</f>
        <v>36</v>
      </c>
      <c r="P11" s="85">
        <f>+COUNTIF(WoodfordW!$L$5:$L$18,"&gt;0")</f>
        <v>8</v>
      </c>
      <c r="Q11" s="86">
        <f>WoodfordW!L43</f>
        <v>36</v>
      </c>
      <c r="S11" s="85">
        <f>+COUNTIF(WoodfordW!$M$5:$M$18,"&gt;0")</f>
        <v>3</v>
      </c>
      <c r="T11" s="86">
        <f>WoodfordW!M43</f>
        <v>4.75</v>
      </c>
      <c r="V11" s="88">
        <v>2</v>
      </c>
      <c r="W11" s="88">
        <v>1</v>
      </c>
      <c r="X11" s="88"/>
      <c r="Y11" s="85">
        <f>K29+Q29</f>
        <v>343</v>
      </c>
    </row>
    <row r="12" spans="1:25" s="80" customFormat="1" ht="15" customHeight="1">
      <c r="A12" s="84" t="s">
        <v>10</v>
      </c>
      <c r="C12" s="85">
        <f>+COUNTIF(Cadmus!$I$5:$I$18,"&gt;0")</f>
        <v>14</v>
      </c>
      <c r="D12" s="86">
        <f>Cadmus!I43</f>
        <v>64.5</v>
      </c>
      <c r="E12" s="86">
        <v>1.75</v>
      </c>
      <c r="F12" s="86">
        <f t="shared" si="0"/>
        <v>62.75</v>
      </c>
      <c r="G12" s="86">
        <f t="shared" si="1"/>
        <v>14.5</v>
      </c>
      <c r="H12" s="87">
        <f t="shared" si="2"/>
        <v>77.25</v>
      </c>
      <c r="J12" s="85">
        <f>+COUNTIF(Cadmus!$J$5:$J$18,"&gt;0")</f>
        <v>10</v>
      </c>
      <c r="K12" s="86">
        <f>Cadmus!J43</f>
        <v>53.1</v>
      </c>
      <c r="M12" s="85">
        <f>+COUNTIF(Cadmus!$K$5:$K$18,"&gt;0")</f>
        <v>10</v>
      </c>
      <c r="N12" s="86">
        <f>Cadmus!K43</f>
        <v>51.35</v>
      </c>
      <c r="P12" s="85">
        <f>+COUNTIF(Cadmus!$L$5:$L$18,"&gt;0")</f>
        <v>9</v>
      </c>
      <c r="Q12" s="86">
        <f>Cadmus!L43</f>
        <v>41.150000000000006</v>
      </c>
      <c r="S12" s="85">
        <f>+COUNTIF(Cadmus!$M$5:$M$18,"&gt;0")</f>
        <v>3</v>
      </c>
      <c r="T12" s="86">
        <f>Cadmus!M43</f>
        <v>7.050000000000001</v>
      </c>
      <c r="V12" s="88">
        <v>4</v>
      </c>
      <c r="W12" s="88">
        <v>2</v>
      </c>
      <c r="X12" s="88">
        <v>3</v>
      </c>
      <c r="Y12" s="85">
        <f>K31+Q30+T31</f>
        <v>225</v>
      </c>
    </row>
    <row r="13" spans="1:25" s="80" customFormat="1" ht="15" customHeight="1">
      <c r="A13" s="84" t="s">
        <v>227</v>
      </c>
      <c r="C13" s="85">
        <f>+COUNTIF(Berdie!$I$5:$I$18,"&gt;0")</f>
        <v>14</v>
      </c>
      <c r="D13" s="86">
        <f>Berdie!I44</f>
        <v>63.550000000000004</v>
      </c>
      <c r="E13" s="86">
        <v>2.25</v>
      </c>
      <c r="F13" s="86">
        <f t="shared" si="0"/>
        <v>61.300000000000004</v>
      </c>
      <c r="G13" s="86">
        <f t="shared" si="1"/>
        <v>8.7</v>
      </c>
      <c r="H13" s="87">
        <f t="shared" si="2"/>
        <v>70</v>
      </c>
      <c r="J13" s="85">
        <f>+COUNTIF(Berdie!$J$5:$J$18,"&gt;0")</f>
        <v>11</v>
      </c>
      <c r="K13" s="86">
        <f>Berdie!J44</f>
        <v>53.2</v>
      </c>
      <c r="M13" s="85">
        <f>+COUNTIF(Berdie!$K$5:$K$18,"&gt;0")</f>
        <v>10</v>
      </c>
      <c r="N13" s="86">
        <f>Berdie!K44</f>
        <v>50.6</v>
      </c>
      <c r="P13" s="85">
        <f>+COUNTIF(Berdie!$L$5:$L$18,"&gt;0")</f>
        <v>10</v>
      </c>
      <c r="Q13" s="86">
        <f>Berdie!L44</f>
        <v>50.6</v>
      </c>
      <c r="S13" s="85">
        <f>+COUNTIF(Berdie!$M$5:$M$18,"&gt;0")</f>
        <v>2</v>
      </c>
      <c r="T13" s="86">
        <f>Berdie!M44</f>
        <v>4.4</v>
      </c>
      <c r="V13" s="88"/>
      <c r="W13" s="88"/>
      <c r="X13" s="88"/>
      <c r="Y13" s="85"/>
    </row>
    <row r="14" spans="1:25" s="80" customFormat="1" ht="15" customHeight="1">
      <c r="A14" s="107" t="s">
        <v>12</v>
      </c>
      <c r="C14" s="85">
        <f>+COUNTIF(Griswold!$I$5:$I$18,"&gt;0")</f>
        <v>14</v>
      </c>
      <c r="D14" s="86">
        <f>Griswold!I50</f>
        <v>60.500000000000014</v>
      </c>
      <c r="E14" s="86">
        <v>0</v>
      </c>
      <c r="F14" s="86">
        <f>+D14-E14</f>
        <v>60.500000000000014</v>
      </c>
      <c r="G14" s="86">
        <f t="shared" si="1"/>
        <v>5.5</v>
      </c>
      <c r="H14" s="87">
        <f t="shared" si="2"/>
        <v>66.00000000000001</v>
      </c>
      <c r="J14" s="85">
        <f>+COUNTIF(Griswold!$J$5:$J$18,"&gt;0")</f>
        <v>5</v>
      </c>
      <c r="K14" s="86">
        <f>Griswold!J50</f>
        <v>36</v>
      </c>
      <c r="M14" s="85">
        <f>+COUNTIF(Griswold!$K$5:$K$18,"&gt;0")</f>
        <v>3</v>
      </c>
      <c r="N14" s="86">
        <f>Griswold!K50</f>
        <v>25</v>
      </c>
      <c r="P14" s="85">
        <f>+COUNTIF(Griswold!$L$5:$L$18,"&gt;0")</f>
        <v>2</v>
      </c>
      <c r="Q14" s="86">
        <f>Griswold!L50</f>
        <v>11</v>
      </c>
      <c r="S14" s="85">
        <f>+COUNTIF(Griswold!$M$5:$M$18,"&gt;0")</f>
        <v>0</v>
      </c>
      <c r="T14" s="86">
        <f>Griswold!M50</f>
        <v>0</v>
      </c>
      <c r="V14" s="88"/>
      <c r="W14" s="88"/>
      <c r="X14" s="88"/>
      <c r="Y14" s="85"/>
    </row>
    <row r="15" spans="1:25" s="80" customFormat="1" ht="15" customHeight="1">
      <c r="A15" s="84" t="s">
        <v>51</v>
      </c>
      <c r="C15" s="85">
        <f>+COUNTIF(Lichty!$I$5:$I$18,"&gt;0")</f>
        <v>14</v>
      </c>
      <c r="D15" s="86">
        <f>Lichty!I43</f>
        <v>57.85000000000001</v>
      </c>
      <c r="E15" s="86">
        <v>0</v>
      </c>
      <c r="F15" s="86">
        <f t="shared" si="0"/>
        <v>57.85000000000001</v>
      </c>
      <c r="G15" s="86">
        <f t="shared" si="1"/>
        <v>2.85</v>
      </c>
      <c r="H15" s="87">
        <f t="shared" si="2"/>
        <v>60.70000000000001</v>
      </c>
      <c r="J15" s="85">
        <f>+COUNTIF(Lichty!$J$5:$J$18,"&gt;0")</f>
        <v>8</v>
      </c>
      <c r="K15" s="86">
        <f>Lichty!J43</f>
        <v>46.300000000000004</v>
      </c>
      <c r="M15" s="85">
        <f>+COUNTIF(Lichty!$K$5:$K$18,"&gt;0")</f>
        <v>3</v>
      </c>
      <c r="N15" s="86">
        <f>Lichty!K43</f>
        <v>17.5</v>
      </c>
      <c r="P15" s="85">
        <f>+COUNTIF(Lichty!$L$5:$L$18,"&gt;0")</f>
        <v>1</v>
      </c>
      <c r="Q15" s="86">
        <f>Lichty!L43</f>
        <v>4.75</v>
      </c>
      <c r="S15" s="85">
        <f>+COUNTIF(Lichty!$M$5:$M$18,"&gt;0")</f>
        <v>0</v>
      </c>
      <c r="T15" s="86">
        <f>Lichty!M43</f>
        <v>0</v>
      </c>
      <c r="V15" s="88"/>
      <c r="W15" s="88"/>
      <c r="X15" s="88"/>
      <c r="Y15" s="85"/>
    </row>
    <row r="16" spans="1:25" s="80" customFormat="1" ht="15" customHeight="1">
      <c r="A16" s="84" t="s">
        <v>14</v>
      </c>
      <c r="C16" s="85">
        <f>+COUNTIF(Peterson!$I$5:$I$18,"&gt;0")</f>
        <v>12</v>
      </c>
      <c r="D16" s="86">
        <f>Peterson!I43</f>
        <v>57.8</v>
      </c>
      <c r="E16" s="86">
        <v>0</v>
      </c>
      <c r="F16" s="86">
        <f t="shared" si="0"/>
        <v>57.8</v>
      </c>
      <c r="G16" s="86">
        <f t="shared" si="1"/>
        <v>2.8</v>
      </c>
      <c r="H16" s="87">
        <f t="shared" si="2"/>
        <v>60.599999999999994</v>
      </c>
      <c r="J16" s="85">
        <f>+COUNTIF(Peterson!$J$5:$J$18,"&gt;0")</f>
        <v>4</v>
      </c>
      <c r="K16" s="86">
        <f>Peterson!J43</f>
        <v>42.3</v>
      </c>
      <c r="M16" s="85">
        <f>+COUNTIF(Peterson!$K$5:$K$18,"&gt;0")</f>
        <v>3</v>
      </c>
      <c r="N16" s="86">
        <f>Peterson!K43</f>
        <v>39.25</v>
      </c>
      <c r="P16" s="85">
        <f>+COUNTIF(Peterson!$L$5:$L$18,"&gt;0")</f>
        <v>3</v>
      </c>
      <c r="Q16" s="86">
        <f>Peterson!L43</f>
        <v>39.25</v>
      </c>
      <c r="S16" s="85">
        <f>+COUNTIF(Peterson!$M$5:$M$18,"&gt;0")</f>
        <v>0</v>
      </c>
      <c r="T16" s="86">
        <f>Peterson!M43</f>
        <v>0</v>
      </c>
      <c r="V16" s="88"/>
      <c r="W16" s="88"/>
      <c r="X16" s="88"/>
      <c r="Y16" s="85"/>
    </row>
    <row r="17" spans="1:25" s="80" customFormat="1" ht="15" customHeight="1">
      <c r="A17" s="84" t="s">
        <v>15</v>
      </c>
      <c r="C17" s="85">
        <f>+COUNTIF(Rittenhouse!$I$5:$I$18,"&gt;0")</f>
        <v>14</v>
      </c>
      <c r="D17" s="86">
        <f>Rittenhouse!I43</f>
        <v>57.50000000000001</v>
      </c>
      <c r="E17" s="86">
        <v>0</v>
      </c>
      <c r="F17" s="86">
        <f t="shared" si="0"/>
        <v>57.50000000000001</v>
      </c>
      <c r="G17" s="86">
        <f t="shared" si="1"/>
        <v>2.5</v>
      </c>
      <c r="H17" s="87">
        <f t="shared" si="2"/>
        <v>60.00000000000001</v>
      </c>
      <c r="J17" s="85">
        <f>+COUNTIF(Rittenhouse!$J$5:$J$18,"&gt;0")</f>
        <v>8</v>
      </c>
      <c r="K17" s="86">
        <f>Rittenhouse!J43</f>
        <v>46.25</v>
      </c>
      <c r="M17" s="85">
        <f>+COUNTIF(Rittenhouse!$K$5:$K$18,"&gt;0")</f>
        <v>6</v>
      </c>
      <c r="N17" s="86">
        <f>Rittenhouse!K43</f>
        <v>33.5</v>
      </c>
      <c r="P17" s="85">
        <f>+COUNTIF(Rittenhouse!$L$5:$L$18,"&gt;0")</f>
        <v>3</v>
      </c>
      <c r="Q17" s="86">
        <f>Rittenhouse!L43</f>
        <v>8.5</v>
      </c>
      <c r="S17" s="85">
        <f>+COUNTIF(Rittenhouse!$M$5:$M$18,"&gt;0")</f>
        <v>0</v>
      </c>
      <c r="T17" s="86">
        <f>Rittenhouse!M43</f>
        <v>0</v>
      </c>
      <c r="V17" s="88">
        <v>5</v>
      </c>
      <c r="W17" s="88"/>
      <c r="X17" s="88"/>
      <c r="Y17" s="85">
        <f>K32</f>
        <v>74</v>
      </c>
    </row>
    <row r="18" spans="1:25" s="80" customFormat="1" ht="15" customHeight="1">
      <c r="A18" s="84" t="s">
        <v>8</v>
      </c>
      <c r="C18" s="85">
        <f>+COUNTIF(Barton!$I$5:$I$18,"&gt;0")</f>
        <v>14</v>
      </c>
      <c r="D18" s="86">
        <f>+Barton!I43</f>
        <v>55.800000000000004</v>
      </c>
      <c r="E18" s="86">
        <v>0</v>
      </c>
      <c r="F18" s="86">
        <f t="shared" si="0"/>
        <v>55.800000000000004</v>
      </c>
      <c r="G18" s="86">
        <f t="shared" si="1"/>
        <v>0.8</v>
      </c>
      <c r="H18" s="87">
        <f t="shared" si="2"/>
        <v>56.6</v>
      </c>
      <c r="I18" s="90"/>
      <c r="J18" s="85">
        <f>+COUNTIF(Barton!$J$5:$J$18,"&gt;0")</f>
        <v>8</v>
      </c>
      <c r="K18" s="86">
        <f>+Barton!J43</f>
        <v>27.550000000000004</v>
      </c>
      <c r="M18" s="85">
        <f>+COUNTIF(Barton!$K$5:$K$18,"&gt;0")</f>
        <v>8</v>
      </c>
      <c r="N18" s="86">
        <f>+Barton!K43</f>
        <v>27.250000000000004</v>
      </c>
      <c r="P18" s="85">
        <f>+COUNTIF(Barton!$L$5:$L$18,"&gt;0")</f>
        <v>8</v>
      </c>
      <c r="Q18" s="86">
        <f>+Barton!L43</f>
        <v>27.250000000000004</v>
      </c>
      <c r="S18" s="85">
        <f>+COUNTIF(Barton!$M$5:$M$18,"&gt;0")</f>
        <v>3</v>
      </c>
      <c r="T18" s="86">
        <f>+Barton!M43</f>
        <v>5.300000000000001</v>
      </c>
      <c r="V18" s="88"/>
      <c r="W18" s="88"/>
      <c r="X18" s="88">
        <v>2</v>
      </c>
      <c r="Y18" s="85">
        <f>T30</f>
        <v>98</v>
      </c>
    </row>
    <row r="19" spans="1:25" s="80" customFormat="1" ht="15" customHeight="1">
      <c r="A19" s="107" t="s">
        <v>228</v>
      </c>
      <c r="C19" s="85">
        <f>+COUNTIF(Warn!$I$5:$I$18,"&gt;0")</f>
        <v>9</v>
      </c>
      <c r="D19" s="86">
        <f>Warn!I43</f>
        <v>55.00000000000001</v>
      </c>
      <c r="E19" s="86">
        <v>0</v>
      </c>
      <c r="F19" s="86">
        <f t="shared" si="0"/>
        <v>55.00000000000001</v>
      </c>
      <c r="G19" s="86">
        <f t="shared" si="1"/>
        <v>0</v>
      </c>
      <c r="H19" s="87">
        <f>+F19+G19</f>
        <v>55.00000000000001</v>
      </c>
      <c r="J19" s="85">
        <f>+COUNTIF(Warn!$J$5:$J$18,"&gt;0")</f>
        <v>5</v>
      </c>
      <c r="K19" s="86">
        <f>Warn!J43</f>
        <v>36.7</v>
      </c>
      <c r="M19" s="85">
        <f>+COUNTIF(Warn!$K$5:$K$18,"&gt;0")</f>
        <v>1</v>
      </c>
      <c r="N19" s="86">
        <f>Warn!K43</f>
        <v>12</v>
      </c>
      <c r="P19" s="85">
        <f>+COUNTIF(Warn!$L$5:$L$18,"&gt;0")</f>
        <v>1</v>
      </c>
      <c r="Q19" s="86">
        <f>Warn!L43</f>
        <v>12</v>
      </c>
      <c r="S19" s="85">
        <f>+COUNTIF(Warn!$M$5:$M$18,"&gt;0")</f>
        <v>0</v>
      </c>
      <c r="T19" s="86">
        <f>Warn!M43</f>
        <v>0</v>
      </c>
      <c r="V19" s="88"/>
      <c r="W19" s="88"/>
      <c r="X19" s="88"/>
      <c r="Y19" s="85"/>
    </row>
    <row r="20" spans="1:25" s="80" customFormat="1" ht="15" customHeight="1">
      <c r="A20" s="84" t="s">
        <v>9</v>
      </c>
      <c r="C20" s="85">
        <f>+COUNTIF(Boyd!$I$5:$I$18,"&gt;0")</f>
        <v>13</v>
      </c>
      <c r="D20" s="86">
        <f>Boyd!I43</f>
        <v>59.00000000000001</v>
      </c>
      <c r="E20" s="86">
        <v>4.5</v>
      </c>
      <c r="F20" s="86">
        <f t="shared" si="0"/>
        <v>54.50000000000001</v>
      </c>
      <c r="G20" s="86">
        <f t="shared" si="1"/>
        <v>0</v>
      </c>
      <c r="H20" s="87">
        <f t="shared" si="2"/>
        <v>54.50000000000001</v>
      </c>
      <c r="J20" s="85">
        <f>+COUNTIF(Boyd!$J$5:$J$18,"&gt;0")</f>
        <v>9</v>
      </c>
      <c r="K20" s="86">
        <f>Boyd!J43</f>
        <v>53.5</v>
      </c>
      <c r="M20" s="85">
        <f>+COUNTIF(Boyd!$K$5:$K$18,"&gt;0")</f>
        <v>7</v>
      </c>
      <c r="N20" s="86">
        <f>Boyd!K43</f>
        <v>38.5</v>
      </c>
      <c r="P20" s="85">
        <f>+COUNTIF(Boyd!$L$5:$L$18,"&gt;0")</f>
        <v>6</v>
      </c>
      <c r="Q20" s="86">
        <f>Boyd!L43</f>
        <v>32.25</v>
      </c>
      <c r="S20" s="85">
        <f>+COUNTIF(Boyd!$M$5:$M$18,"&gt;0")</f>
        <v>2</v>
      </c>
      <c r="T20" s="86">
        <f>Boyd!M43</f>
        <v>5.25</v>
      </c>
      <c r="V20" s="88"/>
      <c r="W20" s="88"/>
      <c r="X20" s="88"/>
      <c r="Y20" s="85"/>
    </row>
    <row r="21" spans="1:25" s="80" customFormat="1" ht="15" customHeight="1">
      <c r="A21" s="84" t="s">
        <v>11</v>
      </c>
      <c r="C21" s="85">
        <f>+COUNTIF(Furrer!$I$5:$I$18,"&gt;0")</f>
        <v>13</v>
      </c>
      <c r="D21" s="86">
        <f>Furrer!I43</f>
        <v>53.800000000000004</v>
      </c>
      <c r="E21" s="86">
        <v>0</v>
      </c>
      <c r="F21" s="86">
        <f t="shared" si="0"/>
        <v>53.800000000000004</v>
      </c>
      <c r="G21" s="86">
        <f t="shared" si="1"/>
        <v>0</v>
      </c>
      <c r="H21" s="87">
        <f t="shared" si="2"/>
        <v>53.800000000000004</v>
      </c>
      <c r="J21" s="85">
        <f>+COUNTIF(Furrer!$J$5:$J$18,"&gt;0")</f>
        <v>11</v>
      </c>
      <c r="K21" s="86">
        <f>Furrer!J43</f>
        <v>40.900000000000006</v>
      </c>
      <c r="M21" s="85">
        <f>+COUNTIF(Furrer!$K$5:$K$18,"&gt;0")</f>
        <v>9</v>
      </c>
      <c r="N21" s="86">
        <f>Furrer!K43</f>
        <v>30.150000000000002</v>
      </c>
      <c r="P21" s="85">
        <f>+COUNTIF(Furrer!$L$5:$L$18,"&gt;0")</f>
        <v>7</v>
      </c>
      <c r="Q21" s="86">
        <f>Furrer!L43</f>
        <v>26.450000000000003</v>
      </c>
      <c r="S21" s="85">
        <f>+COUNTIF(Furrer!$M$5:$M$18,"&gt;0")</f>
        <v>2</v>
      </c>
      <c r="T21" s="86">
        <f>Furrer!M43</f>
        <v>4.7</v>
      </c>
      <c r="V21" s="88"/>
      <c r="W21" s="88"/>
      <c r="X21" s="88"/>
      <c r="Y21" s="85"/>
    </row>
    <row r="22" spans="1:25" s="80" customFormat="1" ht="15" customHeight="1">
      <c r="A22" s="84" t="s">
        <v>13</v>
      </c>
      <c r="B22" s="89"/>
      <c r="C22" s="85">
        <f>+COUNTIF(Hunt!$I$5:$I$18,"&gt;0")</f>
        <v>14</v>
      </c>
      <c r="D22" s="86">
        <f>Hunt!I43</f>
        <v>51.35000000000001</v>
      </c>
      <c r="E22" s="86">
        <v>0</v>
      </c>
      <c r="F22" s="86">
        <f t="shared" si="0"/>
        <v>51.35000000000001</v>
      </c>
      <c r="G22" s="86">
        <f t="shared" si="1"/>
        <v>0</v>
      </c>
      <c r="H22" s="87">
        <f t="shared" si="2"/>
        <v>51.35000000000001</v>
      </c>
      <c r="J22" s="85">
        <f>+COUNTIF(Hunt!$J$5:$J$18,"&gt;0")</f>
        <v>4</v>
      </c>
      <c r="K22" s="86">
        <f>Hunt!J43</f>
        <v>28.049999999999997</v>
      </c>
      <c r="M22" s="85">
        <f>+COUNTIF(Hunt!$K$5:$K$18,"&gt;0")</f>
        <v>3</v>
      </c>
      <c r="N22" s="86">
        <f>Hunt!K43</f>
        <v>21.95</v>
      </c>
      <c r="P22" s="85">
        <f>+COUNTIF(Hunt!$L$5:$L$18,"&gt;0")</f>
        <v>3</v>
      </c>
      <c r="Q22" s="86">
        <f>Hunt!L43</f>
        <v>21.95</v>
      </c>
      <c r="S22" s="85">
        <f>+COUNTIF(Hunt!$M$5:$M$18,"&gt;0")</f>
        <v>3</v>
      </c>
      <c r="T22" s="86">
        <f>Hunt!M43</f>
        <v>21.95</v>
      </c>
      <c r="Y22" s="85"/>
    </row>
    <row r="23" spans="1:25" s="80" customFormat="1" ht="15" customHeight="1">
      <c r="A23" s="84" t="s">
        <v>16</v>
      </c>
      <c r="C23" s="85">
        <f>+COUNTIF(WoodfordB!$I$5:$I$18,"&gt;0")</f>
        <v>12</v>
      </c>
      <c r="D23" s="86">
        <f>WoodfordB!I43</f>
        <v>57.00000000000001</v>
      </c>
      <c r="E23" s="86">
        <v>8</v>
      </c>
      <c r="F23" s="86">
        <f t="shared" si="0"/>
        <v>49.00000000000001</v>
      </c>
      <c r="G23" s="86">
        <f t="shared" si="1"/>
        <v>0</v>
      </c>
      <c r="H23" s="87">
        <f t="shared" si="2"/>
        <v>49.00000000000001</v>
      </c>
      <c r="J23" s="85">
        <f>+COUNTIF(WoodfordB!$J$5:$J$18,"&gt;0")</f>
        <v>10</v>
      </c>
      <c r="K23" s="86">
        <f>WoodfordB!J43</f>
        <v>47.10000000000001</v>
      </c>
      <c r="M23" s="85">
        <f>+COUNTIF(WoodfordB!$K$5:$K$18,"&gt;0")</f>
        <v>9</v>
      </c>
      <c r="N23" s="86">
        <f>WoodfordB!K43</f>
        <v>45.10000000000001</v>
      </c>
      <c r="P23" s="85">
        <f>+COUNTIF(WoodfordB!$L$5:$L$18,"&gt;0")</f>
        <v>6</v>
      </c>
      <c r="Q23" s="86">
        <f>WoodfordB!L43</f>
        <v>24.35</v>
      </c>
      <c r="S23" s="85">
        <f>+COUNTIF(WoodfordB!$M$5:$M$18,"&gt;0")</f>
        <v>4</v>
      </c>
      <c r="T23" s="86">
        <f>WoodfordB!M43</f>
        <v>18.650000000000002</v>
      </c>
      <c r="Y23" s="85"/>
    </row>
    <row r="24" spans="1:25" s="80" customFormat="1" ht="15" customHeight="1" thickBot="1">
      <c r="A24" s="91"/>
      <c r="B24" s="92"/>
      <c r="C24" s="93"/>
      <c r="D24" s="94"/>
      <c r="E24" s="94"/>
      <c r="F24" s="94"/>
      <c r="G24" s="94"/>
      <c r="H24" s="95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Y24" s="85">
        <f>SUM(Y7:Y23)</f>
        <v>1404</v>
      </c>
    </row>
    <row r="25" ht="7.5" customHeight="1"/>
    <row r="26" spans="2:20" ht="12.75">
      <c r="B26" s="112" t="s">
        <v>220</v>
      </c>
      <c r="C26" s="112"/>
      <c r="E26" s="81" t="s">
        <v>24</v>
      </c>
      <c r="F26" s="96" t="s">
        <v>31</v>
      </c>
      <c r="G26" s="96" t="s">
        <v>2</v>
      </c>
      <c r="H26" s="96" t="s">
        <v>3</v>
      </c>
      <c r="I26" s="96"/>
      <c r="J26" s="113" t="s">
        <v>221</v>
      </c>
      <c r="K26" s="113"/>
      <c r="L26" s="113"/>
      <c r="M26" s="113"/>
      <c r="N26" s="113"/>
      <c r="P26" s="112" t="s">
        <v>214</v>
      </c>
      <c r="Q26" s="112"/>
      <c r="S26" s="112" t="s">
        <v>215</v>
      </c>
      <c r="T26" s="112"/>
    </row>
    <row r="27" spans="5:6" ht="6" customHeight="1">
      <c r="E27" s="97"/>
      <c r="F27" s="98"/>
    </row>
    <row r="28" spans="1:20" ht="15.75">
      <c r="A28" s="99" t="s">
        <v>32</v>
      </c>
      <c r="B28" s="111">
        <f>+SUM(F7:F23)</f>
        <v>1027.8500000000001</v>
      </c>
      <c r="C28" s="111"/>
      <c r="E28" s="100" t="s">
        <v>44</v>
      </c>
      <c r="F28" s="101">
        <v>55</v>
      </c>
      <c r="G28" s="102">
        <f>SUM(C7:C23)</f>
        <v>227</v>
      </c>
      <c r="H28" s="103">
        <f>+SUM(F7:F23)</f>
        <v>1027.8500000000001</v>
      </c>
      <c r="I28" s="103"/>
      <c r="J28" s="100" t="s">
        <v>36</v>
      </c>
      <c r="K28" s="101">
        <f>+ROUND(($B$31-Q28-T28)*0.36,0)</f>
        <v>328</v>
      </c>
      <c r="M28" s="100" t="s">
        <v>41</v>
      </c>
      <c r="N28" s="101">
        <v>0</v>
      </c>
      <c r="P28" s="104" t="s">
        <v>30</v>
      </c>
      <c r="Q28" s="101">
        <f>+ROUND(B31*0.15,0)</f>
        <v>211</v>
      </c>
      <c r="S28" s="104" t="s">
        <v>30</v>
      </c>
      <c r="T28" s="101">
        <f>+ROUND(B31*0.2,0)</f>
        <v>281</v>
      </c>
    </row>
    <row r="29" spans="1:20" ht="15.75">
      <c r="A29" s="99" t="s">
        <v>18</v>
      </c>
      <c r="B29" s="111">
        <f>+SUM(G7:G23)</f>
        <v>368.45000000000005</v>
      </c>
      <c r="C29" s="111"/>
      <c r="E29" s="100" t="s">
        <v>45</v>
      </c>
      <c r="F29" s="101">
        <v>60.5</v>
      </c>
      <c r="G29" s="102">
        <f>SUM(J7:J23)</f>
        <v>138</v>
      </c>
      <c r="H29" s="103">
        <f>SUM(K7:K23)</f>
        <v>778.55</v>
      </c>
      <c r="I29" s="103"/>
      <c r="J29" s="100" t="s">
        <v>37</v>
      </c>
      <c r="K29" s="101">
        <f>+ROUND(($B$31-Q28-T28)*0.26,0)</f>
        <v>237</v>
      </c>
      <c r="M29" s="100" t="s">
        <v>222</v>
      </c>
      <c r="N29" s="101">
        <v>0</v>
      </c>
      <c r="P29" s="104" t="s">
        <v>36</v>
      </c>
      <c r="Q29" s="101">
        <f>ROUND(Q28*0.5,0)</f>
        <v>106</v>
      </c>
      <c r="S29" s="104" t="s">
        <v>36</v>
      </c>
      <c r="T29" s="101">
        <f>ROUND(T28*0.5,0)</f>
        <v>141</v>
      </c>
    </row>
    <row r="30" spans="1:20" ht="15.75">
      <c r="A30" s="99" t="s">
        <v>33</v>
      </c>
      <c r="B30" s="111">
        <f>+SUM(H7:H23)</f>
        <v>1396.3</v>
      </c>
      <c r="C30" s="111"/>
      <c r="E30" s="100" t="s">
        <v>46</v>
      </c>
      <c r="F30" s="101">
        <v>66.55</v>
      </c>
      <c r="G30" s="102">
        <f>SUM(M7:M23)</f>
        <v>100</v>
      </c>
      <c r="H30" s="103">
        <f>SUM(N7:N23)</f>
        <v>575.15</v>
      </c>
      <c r="I30" s="103"/>
      <c r="J30" s="100" t="s">
        <v>38</v>
      </c>
      <c r="K30" s="101">
        <f>+ROUND(($B$31-Q28-T28)*0.18,0)</f>
        <v>164</v>
      </c>
      <c r="M30" s="100" t="s">
        <v>223</v>
      </c>
      <c r="N30" s="101">
        <v>0</v>
      </c>
      <c r="P30" s="104" t="s">
        <v>37</v>
      </c>
      <c r="Q30" s="101">
        <f>ROUND(Q28*0.35,0)</f>
        <v>74</v>
      </c>
      <c r="S30" s="104" t="s">
        <v>37</v>
      </c>
      <c r="T30" s="101">
        <f>ROUND(T28*0.35,0)</f>
        <v>98</v>
      </c>
    </row>
    <row r="31" spans="1:20" ht="15.75">
      <c r="A31" s="99" t="s">
        <v>34</v>
      </c>
      <c r="B31" s="116">
        <f>FLOOR(SUMIF(F7:F23,"&lt;=55",F7:F23)+55*COUNTIF(F7:F23,"&gt;55"),1)+624-33-110</f>
        <v>1404</v>
      </c>
      <c r="C31" s="116"/>
      <c r="E31" s="100" t="s">
        <v>47</v>
      </c>
      <c r="F31" s="101">
        <v>73.2</v>
      </c>
      <c r="G31" s="102">
        <f>SUM(P7:P23)</f>
        <v>85</v>
      </c>
      <c r="H31" s="103">
        <f>SUM(Q7:Q23)</f>
        <v>464.25</v>
      </c>
      <c r="I31" s="103"/>
      <c r="J31" s="100" t="s">
        <v>39</v>
      </c>
      <c r="K31" s="101">
        <f>+ROUND(($B$31-Q28-T28)*0.12,0)</f>
        <v>109</v>
      </c>
      <c r="L31" s="103"/>
      <c r="M31" s="100" t="s">
        <v>224</v>
      </c>
      <c r="N31" s="101">
        <v>0</v>
      </c>
      <c r="P31" s="104" t="s">
        <v>38</v>
      </c>
      <c r="Q31" s="101">
        <f>Q28-Q29-Q30</f>
        <v>31</v>
      </c>
      <c r="S31" s="104" t="s">
        <v>38</v>
      </c>
      <c r="T31" s="101">
        <f>T28-T29-T30</f>
        <v>42</v>
      </c>
    </row>
    <row r="32" spans="1:14" ht="15.75">
      <c r="A32" s="99" t="s">
        <v>35</v>
      </c>
      <c r="B32" s="116">
        <v>446.95</v>
      </c>
      <c r="C32" s="116"/>
      <c r="E32" s="100" t="s">
        <v>219</v>
      </c>
      <c r="F32" s="101">
        <v>80.5</v>
      </c>
      <c r="G32" s="102">
        <f>SUM(S7:S23)</f>
        <v>29</v>
      </c>
      <c r="H32" s="103">
        <f>SUM(T7:T23)</f>
        <v>102.85000000000001</v>
      </c>
      <c r="I32" s="103"/>
      <c r="J32" s="100" t="s">
        <v>40</v>
      </c>
      <c r="K32" s="101">
        <f>B31-Q28-T28-K28-K29-K30-K31</f>
        <v>74</v>
      </c>
      <c r="L32" s="103"/>
      <c r="M32" s="100" t="s">
        <v>225</v>
      </c>
      <c r="N32" s="101">
        <v>0</v>
      </c>
    </row>
    <row r="33" ht="12.75">
      <c r="A33" s="105"/>
    </row>
    <row r="34" spans="1:3" ht="12.75">
      <c r="A34" s="106"/>
      <c r="B34" s="115"/>
      <c r="C34" s="115"/>
    </row>
  </sheetData>
  <sheetProtection/>
  <mergeCells count="16">
    <mergeCell ref="M3:N3"/>
    <mergeCell ref="P3:Q3"/>
    <mergeCell ref="B34:C34"/>
    <mergeCell ref="B30:C30"/>
    <mergeCell ref="B31:C31"/>
    <mergeCell ref="B32:C32"/>
    <mergeCell ref="P1:T1"/>
    <mergeCell ref="B28:C28"/>
    <mergeCell ref="B29:C29"/>
    <mergeCell ref="P26:Q26"/>
    <mergeCell ref="S26:T26"/>
    <mergeCell ref="J26:N26"/>
    <mergeCell ref="B26:C26"/>
    <mergeCell ref="S3:T3"/>
    <mergeCell ref="C3:H3"/>
    <mergeCell ref="J3:K3"/>
  </mergeCells>
  <printOptions horizontalCentered="1"/>
  <pageMargins left="0.25" right="0.25" top="0.75" bottom="0.7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242</v>
      </c>
      <c r="C5" s="18" t="s">
        <v>55</v>
      </c>
      <c r="D5" s="18" t="s">
        <v>81</v>
      </c>
      <c r="E5" s="34" t="s">
        <v>57</v>
      </c>
      <c r="F5" s="35">
        <v>3.6</v>
      </c>
      <c r="G5" s="12">
        <v>2007</v>
      </c>
      <c r="I5" s="37">
        <f aca="true" t="shared" si="0" ref="I5:M14">+IF($G5&gt;=I$3,$F5,0)</f>
        <v>3.6</v>
      </c>
      <c r="J5" s="37">
        <f t="shared" si="0"/>
        <v>3.6</v>
      </c>
      <c r="K5" s="37">
        <f t="shared" si="0"/>
        <v>3.6</v>
      </c>
      <c r="L5" s="37">
        <f t="shared" si="0"/>
        <v>3.6</v>
      </c>
      <c r="M5" s="37">
        <f t="shared" si="0"/>
        <v>3.6</v>
      </c>
    </row>
    <row r="6" spans="1:13" ht="12.75">
      <c r="A6" s="22">
        <v>2</v>
      </c>
      <c r="B6" s="36" t="s">
        <v>295</v>
      </c>
      <c r="C6" s="18" t="s">
        <v>196</v>
      </c>
      <c r="D6" s="18" t="s">
        <v>79</v>
      </c>
      <c r="E6" s="34" t="s">
        <v>57</v>
      </c>
      <c r="F6" s="35">
        <v>1.1</v>
      </c>
      <c r="G6" s="12">
        <v>2007</v>
      </c>
      <c r="I6" s="38">
        <f t="shared" si="0"/>
        <v>1.1</v>
      </c>
      <c r="J6" s="38">
        <f t="shared" si="0"/>
        <v>1.1</v>
      </c>
      <c r="K6" s="38">
        <f t="shared" si="0"/>
        <v>1.1</v>
      </c>
      <c r="L6" s="38">
        <f t="shared" si="0"/>
        <v>1.1</v>
      </c>
      <c r="M6" s="38">
        <f t="shared" si="0"/>
        <v>1.1</v>
      </c>
    </row>
    <row r="7" spans="1:13" ht="12.75">
      <c r="A7" s="22">
        <v>3</v>
      </c>
      <c r="B7" s="36" t="s">
        <v>91</v>
      </c>
      <c r="C7" s="18" t="s">
        <v>65</v>
      </c>
      <c r="D7" s="18" t="s">
        <v>92</v>
      </c>
      <c r="E7" s="34" t="s">
        <v>57</v>
      </c>
      <c r="F7" s="35">
        <v>11</v>
      </c>
      <c r="G7" s="12">
        <v>2006</v>
      </c>
      <c r="I7" s="38">
        <f t="shared" si="0"/>
        <v>11</v>
      </c>
      <c r="J7" s="38">
        <f t="shared" si="0"/>
        <v>11</v>
      </c>
      <c r="K7" s="38">
        <f t="shared" si="0"/>
        <v>11</v>
      </c>
      <c r="L7" s="38">
        <f t="shared" si="0"/>
        <v>11</v>
      </c>
      <c r="M7" s="38">
        <f t="shared" si="0"/>
        <v>0</v>
      </c>
    </row>
    <row r="8" spans="1:13" ht="12.75">
      <c r="A8" s="22">
        <v>4</v>
      </c>
      <c r="B8" s="36" t="s">
        <v>299</v>
      </c>
      <c r="C8" s="18" t="s">
        <v>148</v>
      </c>
      <c r="D8" s="18" t="s">
        <v>81</v>
      </c>
      <c r="E8" s="34" t="s">
        <v>57</v>
      </c>
      <c r="F8" s="35">
        <v>5.8</v>
      </c>
      <c r="G8" s="12">
        <v>2006</v>
      </c>
      <c r="I8" s="38">
        <f t="shared" si="0"/>
        <v>5.8</v>
      </c>
      <c r="J8" s="38">
        <f t="shared" si="0"/>
        <v>5.8</v>
      </c>
      <c r="K8" s="38">
        <f t="shared" si="0"/>
        <v>5.8</v>
      </c>
      <c r="L8" s="38">
        <f t="shared" si="0"/>
        <v>5.8</v>
      </c>
      <c r="M8" s="38">
        <f t="shared" si="0"/>
        <v>0</v>
      </c>
    </row>
    <row r="9" spans="1:13" ht="12.75">
      <c r="A9" s="22">
        <v>5</v>
      </c>
      <c r="B9" s="36" t="s">
        <v>129</v>
      </c>
      <c r="C9" s="18" t="s">
        <v>151</v>
      </c>
      <c r="D9" s="18" t="s">
        <v>78</v>
      </c>
      <c r="E9" s="34" t="s">
        <v>57</v>
      </c>
      <c r="F9" s="35">
        <v>2.85</v>
      </c>
      <c r="G9" s="12">
        <v>2006</v>
      </c>
      <c r="I9" s="38">
        <f t="shared" si="0"/>
        <v>2.85</v>
      </c>
      <c r="J9" s="38">
        <f t="shared" si="0"/>
        <v>2.85</v>
      </c>
      <c r="K9" s="38">
        <f t="shared" si="0"/>
        <v>2.85</v>
      </c>
      <c r="L9" s="38">
        <f t="shared" si="0"/>
        <v>2.85</v>
      </c>
      <c r="M9" s="38">
        <f t="shared" si="0"/>
        <v>0</v>
      </c>
    </row>
    <row r="10" spans="1:13" ht="12.75">
      <c r="A10" s="22">
        <v>6</v>
      </c>
      <c r="B10" s="36" t="s">
        <v>202</v>
      </c>
      <c r="C10" s="18" t="s">
        <v>196</v>
      </c>
      <c r="D10" s="18" t="s">
        <v>115</v>
      </c>
      <c r="E10" s="34" t="s">
        <v>57</v>
      </c>
      <c r="F10" s="35">
        <v>1.1</v>
      </c>
      <c r="G10" s="12">
        <v>2006</v>
      </c>
      <c r="I10" s="38">
        <f t="shared" si="0"/>
        <v>1.1</v>
      </c>
      <c r="J10" s="38">
        <f t="shared" si="0"/>
        <v>1.1</v>
      </c>
      <c r="K10" s="38">
        <f t="shared" si="0"/>
        <v>1.1</v>
      </c>
      <c r="L10" s="38">
        <f t="shared" si="0"/>
        <v>1.1</v>
      </c>
      <c r="M10" s="38">
        <f t="shared" si="0"/>
        <v>0</v>
      </c>
    </row>
    <row r="11" spans="1:13" ht="12.75">
      <c r="A11" s="22">
        <v>7</v>
      </c>
      <c r="B11" s="36" t="s">
        <v>193</v>
      </c>
      <c r="C11" s="18" t="s">
        <v>76</v>
      </c>
      <c r="D11" s="18" t="s">
        <v>87</v>
      </c>
      <c r="E11" s="34" t="s">
        <v>57</v>
      </c>
      <c r="F11" s="35">
        <v>1</v>
      </c>
      <c r="G11" s="13">
        <v>2006</v>
      </c>
      <c r="I11" s="38">
        <f t="shared" si="0"/>
        <v>1</v>
      </c>
      <c r="J11" s="38">
        <f t="shared" si="0"/>
        <v>1</v>
      </c>
      <c r="K11" s="38">
        <f t="shared" si="0"/>
        <v>1</v>
      </c>
      <c r="L11" s="38">
        <f t="shared" si="0"/>
        <v>1</v>
      </c>
      <c r="M11" s="38">
        <f t="shared" si="0"/>
        <v>0</v>
      </c>
    </row>
    <row r="12" spans="1:13" ht="12.75">
      <c r="A12" s="22">
        <v>8</v>
      </c>
      <c r="B12" s="36" t="s">
        <v>235</v>
      </c>
      <c r="C12" s="18" t="s">
        <v>148</v>
      </c>
      <c r="D12" s="18" t="s">
        <v>78</v>
      </c>
      <c r="E12" s="34" t="s">
        <v>57</v>
      </c>
      <c r="F12" s="35">
        <v>2.7</v>
      </c>
      <c r="G12" s="12">
        <v>2005</v>
      </c>
      <c r="I12" s="38">
        <f t="shared" si="0"/>
        <v>2.7</v>
      </c>
      <c r="J12" s="38">
        <f t="shared" si="0"/>
        <v>2.7</v>
      </c>
      <c r="K12" s="38">
        <f t="shared" si="0"/>
        <v>2.7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188</v>
      </c>
      <c r="C13" s="18" t="s">
        <v>157</v>
      </c>
      <c r="D13" s="18" t="s">
        <v>83</v>
      </c>
      <c r="E13" s="34" t="s">
        <v>57</v>
      </c>
      <c r="F13" s="35">
        <v>1</v>
      </c>
      <c r="G13" s="12">
        <v>2005</v>
      </c>
      <c r="I13" s="38">
        <f t="shared" si="0"/>
        <v>1</v>
      </c>
      <c r="J13" s="38">
        <f t="shared" si="0"/>
        <v>1</v>
      </c>
      <c r="K13" s="38">
        <f t="shared" si="0"/>
        <v>1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159</v>
      </c>
      <c r="C14" s="18" t="s">
        <v>195</v>
      </c>
      <c r="D14" s="18" t="s">
        <v>136</v>
      </c>
      <c r="E14" s="34" t="s">
        <v>57</v>
      </c>
      <c r="F14" s="35">
        <v>6.25</v>
      </c>
      <c r="G14" s="12">
        <v>2004</v>
      </c>
      <c r="I14" s="38">
        <f t="shared" si="0"/>
        <v>6.25</v>
      </c>
      <c r="J14" s="38">
        <f t="shared" si="0"/>
        <v>6.25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158</v>
      </c>
      <c r="C15" s="18" t="s">
        <v>65</v>
      </c>
      <c r="D15" s="18" t="s">
        <v>79</v>
      </c>
      <c r="E15" s="34" t="s">
        <v>57</v>
      </c>
      <c r="F15" s="35">
        <v>4.5</v>
      </c>
      <c r="G15" s="12">
        <v>2004</v>
      </c>
      <c r="I15" s="38">
        <f aca="true" t="shared" si="1" ref="I15:M18">+IF($G15&gt;=I$3,$F15,0)</f>
        <v>4.5</v>
      </c>
      <c r="J15" s="38">
        <f t="shared" si="1"/>
        <v>4.5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280</v>
      </c>
      <c r="C16" s="18" t="s">
        <v>76</v>
      </c>
      <c r="D16" s="18" t="s">
        <v>87</v>
      </c>
      <c r="E16" s="34" t="s">
        <v>57</v>
      </c>
      <c r="F16" s="35">
        <v>9.1</v>
      </c>
      <c r="G16" s="12">
        <v>2003</v>
      </c>
      <c r="I16" s="38">
        <f t="shared" si="1"/>
        <v>9.1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298</v>
      </c>
      <c r="C17" s="18" t="s">
        <v>195</v>
      </c>
      <c r="D17" s="18" t="s">
        <v>83</v>
      </c>
      <c r="E17" s="34" t="s">
        <v>57</v>
      </c>
      <c r="F17" s="35">
        <v>1.8</v>
      </c>
      <c r="G17" s="12">
        <v>2003</v>
      </c>
      <c r="I17" s="38">
        <f t="shared" si="1"/>
        <v>1.8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/>
      <c r="D18" s="18"/>
      <c r="E18" s="34"/>
      <c r="F18" s="35"/>
      <c r="G18" s="12"/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4:13" ht="12.75">
      <c r="D20" s="18"/>
      <c r="E20" s="18"/>
      <c r="F20" s="23"/>
      <c r="G20" s="24"/>
      <c r="I20" s="39">
        <f>+SUM(I5:I18)</f>
        <v>51.800000000000004</v>
      </c>
      <c r="J20" s="39">
        <f>+SUM(J5:J18)</f>
        <v>40.900000000000006</v>
      </c>
      <c r="K20" s="39">
        <f>+SUM(K5:K18)</f>
        <v>30.150000000000002</v>
      </c>
      <c r="L20" s="39">
        <f>+SUM(L5:L18)</f>
        <v>26.450000000000003</v>
      </c>
      <c r="M20" s="39">
        <f>+SUM(M5:M18)</f>
        <v>4.7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/>
      <c r="D26" s="18"/>
      <c r="E26" s="34"/>
      <c r="F26" s="35"/>
      <c r="G26" s="12"/>
      <c r="I26" s="37">
        <f>+CEILING(IF($I$24=E26,F26,IF($I$24&lt;=G26,F26*0.3,0)),0.05)</f>
        <v>0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/>
      <c r="D27" s="18"/>
      <c r="E27" s="34"/>
      <c r="F27" s="36"/>
      <c r="G27" s="34"/>
      <c r="I27" s="38">
        <f>+CEILING(IF($I$24=E27,F27,IF($I$24&lt;=G27,F27*0.3,0)),0.05)</f>
        <v>0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/>
      <c r="D28" s="18"/>
      <c r="E28" s="34"/>
      <c r="F28" s="36"/>
      <c r="G28" s="34"/>
      <c r="I28" s="38">
        <f>+CEILING(IF($I$24=E28,F28,IF($I$24&lt;=G28,F28*0.3,0)),0.05)</f>
        <v>0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/>
      <c r="D29" s="18"/>
      <c r="E29" s="34"/>
      <c r="F29" s="36"/>
      <c r="G29" s="34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B30" s="36"/>
      <c r="D30" s="18"/>
      <c r="E30" s="34"/>
      <c r="F30" s="36"/>
      <c r="G30" s="34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0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58"/>
      <c r="J37" s="58"/>
      <c r="K37" s="58"/>
      <c r="L37" s="58"/>
      <c r="M37" s="58"/>
    </row>
    <row r="38" spans="1:13" ht="12.75">
      <c r="A38" s="22">
        <v>1</v>
      </c>
      <c r="B38" s="125" t="s">
        <v>283</v>
      </c>
      <c r="C38" s="125"/>
      <c r="D38" s="125"/>
      <c r="E38" s="125"/>
      <c r="F38" s="40">
        <v>2</v>
      </c>
      <c r="G38" s="18">
        <v>2003</v>
      </c>
      <c r="I38" s="58">
        <f>F38</f>
        <v>2</v>
      </c>
      <c r="J38" s="58">
        <v>0</v>
      </c>
      <c r="K38" s="58">
        <v>0</v>
      </c>
      <c r="L38" s="58">
        <v>0</v>
      </c>
      <c r="M38" s="58">
        <v>0</v>
      </c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2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53.800000000000004</v>
      </c>
      <c r="J43" s="33">
        <f>+J20+J32+J41</f>
        <v>40.900000000000006</v>
      </c>
      <c r="K43" s="33">
        <f>+K20+K32+K41</f>
        <v>30.150000000000002</v>
      </c>
      <c r="L43" s="33">
        <f>+L20+L32+L41</f>
        <v>26.450000000000003</v>
      </c>
      <c r="M43" s="33">
        <f>+M20+M32+M41</f>
        <v>4.7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110</v>
      </c>
      <c r="C5" s="18" t="s">
        <v>195</v>
      </c>
      <c r="D5" s="18" t="s">
        <v>77</v>
      </c>
      <c r="E5" s="34" t="s">
        <v>57</v>
      </c>
      <c r="F5" s="35">
        <v>6</v>
      </c>
      <c r="G5" s="12">
        <v>2006</v>
      </c>
      <c r="I5" s="37">
        <f aca="true" t="shared" si="0" ref="I5:M14">+IF($G5&gt;=I$3,$F5,0)</f>
        <v>6</v>
      </c>
      <c r="J5" s="37">
        <f t="shared" si="0"/>
        <v>6</v>
      </c>
      <c r="K5" s="37">
        <f t="shared" si="0"/>
        <v>6</v>
      </c>
      <c r="L5" s="37">
        <f t="shared" si="0"/>
        <v>6</v>
      </c>
      <c r="M5" s="37">
        <f t="shared" si="0"/>
        <v>0</v>
      </c>
    </row>
    <row r="6" spans="1:13" ht="12.75">
      <c r="A6" s="22">
        <v>2</v>
      </c>
      <c r="B6" s="36" t="s">
        <v>187</v>
      </c>
      <c r="C6" s="18" t="s">
        <v>196</v>
      </c>
      <c r="D6" s="18" t="s">
        <v>114</v>
      </c>
      <c r="E6" s="34" t="s">
        <v>57</v>
      </c>
      <c r="F6" s="35">
        <v>5</v>
      </c>
      <c r="G6" s="12">
        <v>2006</v>
      </c>
      <c r="I6" s="38">
        <f t="shared" si="0"/>
        <v>5</v>
      </c>
      <c r="J6" s="38">
        <f t="shared" si="0"/>
        <v>5</v>
      </c>
      <c r="K6" s="38">
        <f t="shared" si="0"/>
        <v>5</v>
      </c>
      <c r="L6" s="38">
        <f t="shared" si="0"/>
        <v>5</v>
      </c>
      <c r="M6" s="38">
        <f t="shared" si="0"/>
        <v>0</v>
      </c>
    </row>
    <row r="7" spans="1:13" ht="12.75">
      <c r="A7" s="22">
        <v>3</v>
      </c>
      <c r="B7" s="36" t="s">
        <v>99</v>
      </c>
      <c r="C7" s="18" t="s">
        <v>148</v>
      </c>
      <c r="D7" s="18" t="s">
        <v>68</v>
      </c>
      <c r="E7" s="34" t="s">
        <v>57</v>
      </c>
      <c r="F7" s="35">
        <v>14</v>
      </c>
      <c r="G7" s="12">
        <v>2005</v>
      </c>
      <c r="I7" s="38">
        <f t="shared" si="0"/>
        <v>14</v>
      </c>
      <c r="J7" s="38">
        <f t="shared" si="0"/>
        <v>14</v>
      </c>
      <c r="K7" s="38">
        <f t="shared" si="0"/>
        <v>14</v>
      </c>
      <c r="L7" s="38">
        <f t="shared" si="0"/>
        <v>0</v>
      </c>
      <c r="M7" s="38">
        <f t="shared" si="0"/>
        <v>0</v>
      </c>
    </row>
    <row r="8" spans="1:13" ht="12.75">
      <c r="A8" s="22">
        <v>4</v>
      </c>
      <c r="B8" s="36" t="s">
        <v>180</v>
      </c>
      <c r="C8" s="18" t="s">
        <v>195</v>
      </c>
      <c r="D8" s="18" t="s">
        <v>83</v>
      </c>
      <c r="E8" s="34" t="s">
        <v>57</v>
      </c>
      <c r="F8" s="38">
        <v>6.5</v>
      </c>
      <c r="G8" s="34">
        <v>2004</v>
      </c>
      <c r="I8" s="38">
        <f t="shared" si="0"/>
        <v>6.5</v>
      </c>
      <c r="J8" s="38">
        <f t="shared" si="0"/>
        <v>6.5</v>
      </c>
      <c r="K8" s="38">
        <f t="shared" si="0"/>
        <v>0</v>
      </c>
      <c r="L8" s="38">
        <f t="shared" si="0"/>
        <v>0</v>
      </c>
      <c r="M8" s="38">
        <f t="shared" si="0"/>
        <v>0</v>
      </c>
    </row>
    <row r="9" spans="1:13" ht="12.75">
      <c r="A9" s="22">
        <v>5</v>
      </c>
      <c r="B9" s="36" t="s">
        <v>271</v>
      </c>
      <c r="C9" s="18" t="s">
        <v>196</v>
      </c>
      <c r="D9" s="18" t="s">
        <v>68</v>
      </c>
      <c r="E9" s="34" t="s">
        <v>57</v>
      </c>
      <c r="F9" s="35">
        <v>4.5</v>
      </c>
      <c r="G9" s="12">
        <v>2004</v>
      </c>
      <c r="I9" s="38">
        <f t="shared" si="0"/>
        <v>4.5</v>
      </c>
      <c r="J9" s="38">
        <f t="shared" si="0"/>
        <v>4.5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36" t="s">
        <v>243</v>
      </c>
      <c r="C10" s="18" t="s">
        <v>195</v>
      </c>
      <c r="D10" s="18" t="s">
        <v>98</v>
      </c>
      <c r="E10" s="34" t="s">
        <v>216</v>
      </c>
      <c r="F10" s="35">
        <v>3.85</v>
      </c>
      <c r="G10" s="12">
        <v>2003</v>
      </c>
      <c r="I10" s="38">
        <f t="shared" si="0"/>
        <v>3.85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285</v>
      </c>
      <c r="C11" s="18" t="s">
        <v>76</v>
      </c>
      <c r="D11" s="18" t="s">
        <v>83</v>
      </c>
      <c r="E11" s="34" t="s">
        <v>57</v>
      </c>
      <c r="F11" s="35">
        <v>1.95</v>
      </c>
      <c r="G11" s="12">
        <v>2003</v>
      </c>
      <c r="I11" s="38">
        <f t="shared" si="0"/>
        <v>1.95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159</v>
      </c>
      <c r="C12" s="18" t="s">
        <v>196</v>
      </c>
      <c r="D12" s="18" t="s">
        <v>61</v>
      </c>
      <c r="E12" s="34" t="s">
        <v>57</v>
      </c>
      <c r="F12" s="35">
        <v>1.1</v>
      </c>
      <c r="G12" s="12">
        <v>2003</v>
      </c>
      <c r="I12" s="38">
        <f t="shared" si="0"/>
        <v>1.1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336</v>
      </c>
      <c r="C13" s="18" t="s">
        <v>148</v>
      </c>
      <c r="D13" s="18" t="s">
        <v>78</v>
      </c>
      <c r="E13" s="34" t="s">
        <v>57</v>
      </c>
      <c r="F13" s="35">
        <v>1.1</v>
      </c>
      <c r="G13" s="12">
        <v>2003</v>
      </c>
      <c r="I13" s="38">
        <f t="shared" si="0"/>
        <v>1.1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372</v>
      </c>
      <c r="C14" s="18" t="s">
        <v>173</v>
      </c>
      <c r="D14" s="18" t="s">
        <v>115</v>
      </c>
      <c r="E14" s="34" t="s">
        <v>57</v>
      </c>
      <c r="F14" s="35">
        <v>1.1</v>
      </c>
      <c r="G14" s="12">
        <v>2003</v>
      </c>
      <c r="I14" s="38">
        <f t="shared" si="0"/>
        <v>1.1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337</v>
      </c>
      <c r="C15" s="18" t="s">
        <v>148</v>
      </c>
      <c r="D15" s="18" t="s">
        <v>69</v>
      </c>
      <c r="E15" s="34" t="s">
        <v>57</v>
      </c>
      <c r="F15" s="35">
        <v>1.1</v>
      </c>
      <c r="G15" s="12">
        <v>2003</v>
      </c>
      <c r="I15" s="38">
        <f aca="true" t="shared" si="1" ref="I15:M18">+IF($G15&gt;=I$3,$F15,0)</f>
        <v>1.1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325</v>
      </c>
      <c r="C16" s="18" t="s">
        <v>173</v>
      </c>
      <c r="D16" s="18" t="s">
        <v>85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364</v>
      </c>
      <c r="C17" s="18" t="s">
        <v>195</v>
      </c>
      <c r="D17" s="18" t="s">
        <v>74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327</v>
      </c>
      <c r="C18" s="18" t="s">
        <v>173</v>
      </c>
      <c r="D18" s="18" t="s">
        <v>94</v>
      </c>
      <c r="E18" s="34" t="s">
        <v>57</v>
      </c>
      <c r="F18" s="35">
        <v>1.1</v>
      </c>
      <c r="G18" s="12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49.500000000000014</v>
      </c>
      <c r="J20" s="39">
        <f>+SUM(J5:J18)</f>
        <v>36</v>
      </c>
      <c r="K20" s="39">
        <f>+SUM(K5:K18)</f>
        <v>25</v>
      </c>
      <c r="L20" s="39">
        <f>+SUM(L5:L18)</f>
        <v>11</v>
      </c>
      <c r="M20" s="39">
        <f>+SUM(M5:M18)</f>
        <v>0</v>
      </c>
    </row>
    <row r="22" spans="1:13" ht="15.75">
      <c r="A22" s="60" t="s">
        <v>4</v>
      </c>
      <c r="B22" s="62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67" t="s">
        <v>302</v>
      </c>
      <c r="C26" s="18" t="s">
        <v>196</v>
      </c>
      <c r="D26" s="18" t="s">
        <v>78</v>
      </c>
      <c r="E26" s="34">
        <v>2003</v>
      </c>
      <c r="F26" s="35">
        <v>1.1</v>
      </c>
      <c r="G26" s="12">
        <v>2003</v>
      </c>
      <c r="I26" s="37">
        <f aca="true" t="shared" si="2" ref="I26:I37">+CEILING(IF($I$24=E26,F26,IF($I$24&lt;=G26,F26*0.3,0)),0.05)</f>
        <v>1.1</v>
      </c>
      <c r="J26" s="37">
        <f aca="true" t="shared" si="3" ref="J26:J37">+CEILING(IF($J$24&lt;=G26,F26*0.3,0),0.05)</f>
        <v>0</v>
      </c>
      <c r="K26" s="37">
        <f aca="true" t="shared" si="4" ref="K26:K37">+CEILING(IF($K$24&lt;=G26,F26*0.3,0),0.05)</f>
        <v>0</v>
      </c>
      <c r="L26" s="37">
        <f aca="true" t="shared" si="5" ref="L26:L37">+CEILING(IF($L$24&lt;=G26,F26*0.3,0),0.05)</f>
        <v>0</v>
      </c>
      <c r="M26" s="37">
        <f aca="true" t="shared" si="6" ref="M26:M37">CEILING(IF($M$24&lt;=G26,F26*0.3,0),0.05)</f>
        <v>0</v>
      </c>
    </row>
    <row r="27" spans="1:13" ht="12.75">
      <c r="A27" s="22">
        <v>2</v>
      </c>
      <c r="B27" s="67" t="s">
        <v>300</v>
      </c>
      <c r="C27" s="18" t="s">
        <v>65</v>
      </c>
      <c r="D27" s="18" t="s">
        <v>79</v>
      </c>
      <c r="E27" s="34">
        <v>2003</v>
      </c>
      <c r="F27" s="35">
        <v>1.1</v>
      </c>
      <c r="G27" s="12">
        <v>2003</v>
      </c>
      <c r="I27" s="38">
        <f t="shared" si="2"/>
        <v>1.1</v>
      </c>
      <c r="J27" s="38">
        <f t="shared" si="3"/>
        <v>0</v>
      </c>
      <c r="K27" s="38">
        <f t="shared" si="4"/>
        <v>0</v>
      </c>
      <c r="L27" s="38">
        <f t="shared" si="5"/>
        <v>0</v>
      </c>
      <c r="M27" s="38">
        <f t="shared" si="6"/>
        <v>0</v>
      </c>
    </row>
    <row r="28" spans="1:13" ht="12.75">
      <c r="A28" s="22">
        <v>3</v>
      </c>
      <c r="B28" s="67" t="s">
        <v>305</v>
      </c>
      <c r="C28" s="18" t="s">
        <v>76</v>
      </c>
      <c r="D28" s="18" t="s">
        <v>114</v>
      </c>
      <c r="E28" s="34">
        <v>2003</v>
      </c>
      <c r="F28" s="35">
        <v>1.1</v>
      </c>
      <c r="G28" s="12">
        <v>2003</v>
      </c>
      <c r="I28" s="38">
        <f t="shared" si="2"/>
        <v>1.1</v>
      </c>
      <c r="J28" s="38">
        <f t="shared" si="3"/>
        <v>0</v>
      </c>
      <c r="K28" s="38">
        <f t="shared" si="4"/>
        <v>0</v>
      </c>
      <c r="L28" s="38">
        <f t="shared" si="5"/>
        <v>0</v>
      </c>
      <c r="M28" s="38">
        <f t="shared" si="6"/>
        <v>0</v>
      </c>
    </row>
    <row r="29" spans="1:13" ht="12.75">
      <c r="A29" s="22">
        <v>4</v>
      </c>
      <c r="B29" s="67" t="s">
        <v>301</v>
      </c>
      <c r="C29" s="18" t="s">
        <v>195</v>
      </c>
      <c r="D29" s="18" t="s">
        <v>78</v>
      </c>
      <c r="E29" s="34">
        <v>2003</v>
      </c>
      <c r="F29" s="35">
        <v>1.1</v>
      </c>
      <c r="G29" s="12">
        <v>2003</v>
      </c>
      <c r="I29" s="38">
        <f t="shared" si="2"/>
        <v>1.1</v>
      </c>
      <c r="J29" s="38">
        <f t="shared" si="3"/>
        <v>0</v>
      </c>
      <c r="K29" s="38">
        <f t="shared" si="4"/>
        <v>0</v>
      </c>
      <c r="L29" s="38">
        <f t="shared" si="5"/>
        <v>0</v>
      </c>
      <c r="M29" s="38">
        <f t="shared" si="6"/>
        <v>0</v>
      </c>
    </row>
    <row r="30" spans="1:13" ht="12.75">
      <c r="A30" s="22">
        <v>5</v>
      </c>
      <c r="B30" s="36" t="s">
        <v>355</v>
      </c>
      <c r="C30" s="18" t="s">
        <v>173</v>
      </c>
      <c r="D30" s="18" t="s">
        <v>69</v>
      </c>
      <c r="E30" s="34">
        <v>2003</v>
      </c>
      <c r="F30" s="35">
        <v>1.1</v>
      </c>
      <c r="G30" s="12">
        <v>2003</v>
      </c>
      <c r="I30" s="38">
        <f t="shared" si="2"/>
        <v>1.1</v>
      </c>
      <c r="J30" s="38">
        <f t="shared" si="3"/>
        <v>0</v>
      </c>
      <c r="K30" s="38">
        <f t="shared" si="4"/>
        <v>0</v>
      </c>
      <c r="L30" s="38">
        <f t="shared" si="5"/>
        <v>0</v>
      </c>
      <c r="M30" s="38">
        <f t="shared" si="6"/>
        <v>0</v>
      </c>
    </row>
    <row r="31" spans="1:13" ht="12.75">
      <c r="A31" s="22">
        <v>6</v>
      </c>
      <c r="B31" s="36" t="s">
        <v>330</v>
      </c>
      <c r="C31" s="18" t="s">
        <v>65</v>
      </c>
      <c r="D31" s="18" t="s">
        <v>68</v>
      </c>
      <c r="E31" s="34">
        <v>2003</v>
      </c>
      <c r="F31" s="35">
        <v>1.1</v>
      </c>
      <c r="G31" s="12">
        <v>2003</v>
      </c>
      <c r="I31" s="38">
        <f aca="true" t="shared" si="7" ref="I31:I36">+CEILING(IF($I$24=E31,F31,IF($I$24&lt;=G31,F31*0.3,0)),0.05)</f>
        <v>1.1</v>
      </c>
      <c r="J31" s="38">
        <f aca="true" t="shared" si="8" ref="J31:J36">+CEILING(IF($J$24&lt;=G31,F31*0.3,0),0.05)</f>
        <v>0</v>
      </c>
      <c r="K31" s="38">
        <f aca="true" t="shared" si="9" ref="K31:K36">+CEILING(IF($K$24&lt;=G31,F31*0.3,0),0.05)</f>
        <v>0</v>
      </c>
      <c r="L31" s="38">
        <f aca="true" t="shared" si="10" ref="L31:L36">+CEILING(IF($L$24&lt;=G31,F31*0.3,0),0.05)</f>
        <v>0</v>
      </c>
      <c r="M31" s="38">
        <f aca="true" t="shared" si="11" ref="M31:M36">CEILING(IF($M$24&lt;=G31,F31*0.3,0),0.05)</f>
        <v>0</v>
      </c>
    </row>
    <row r="32" spans="1:13" ht="12.75">
      <c r="A32" s="22">
        <v>7</v>
      </c>
      <c r="B32" s="36" t="s">
        <v>316</v>
      </c>
      <c r="C32" s="18" t="s">
        <v>55</v>
      </c>
      <c r="D32" s="18" t="s">
        <v>85</v>
      </c>
      <c r="E32" s="34">
        <v>2003</v>
      </c>
      <c r="F32" s="35">
        <v>1.1</v>
      </c>
      <c r="G32" s="12">
        <v>2003</v>
      </c>
      <c r="I32" s="38">
        <f t="shared" si="7"/>
        <v>1.1</v>
      </c>
      <c r="J32" s="38">
        <f t="shared" si="8"/>
        <v>0</v>
      </c>
      <c r="K32" s="38">
        <f t="shared" si="9"/>
        <v>0</v>
      </c>
      <c r="L32" s="38">
        <f t="shared" si="10"/>
        <v>0</v>
      </c>
      <c r="M32" s="38">
        <f t="shared" si="11"/>
        <v>0</v>
      </c>
    </row>
    <row r="33" spans="1:13" ht="12.75">
      <c r="A33" s="22">
        <v>8</v>
      </c>
      <c r="B33" s="36" t="s">
        <v>361</v>
      </c>
      <c r="C33" s="18" t="s">
        <v>65</v>
      </c>
      <c r="D33" s="18" t="s">
        <v>98</v>
      </c>
      <c r="E33" s="34">
        <v>2003</v>
      </c>
      <c r="F33" s="35">
        <v>1.1</v>
      </c>
      <c r="G33" s="12">
        <v>2003</v>
      </c>
      <c r="I33" s="38">
        <f t="shared" si="7"/>
        <v>1.1</v>
      </c>
      <c r="J33" s="38">
        <f t="shared" si="8"/>
        <v>0</v>
      </c>
      <c r="K33" s="38">
        <f t="shared" si="9"/>
        <v>0</v>
      </c>
      <c r="L33" s="38">
        <f t="shared" si="10"/>
        <v>0</v>
      </c>
      <c r="M33" s="38">
        <f t="shared" si="11"/>
        <v>0</v>
      </c>
    </row>
    <row r="34" spans="1:13" ht="12.75">
      <c r="A34" s="22">
        <v>9</v>
      </c>
      <c r="B34" s="36" t="s">
        <v>268</v>
      </c>
      <c r="C34" s="18" t="s">
        <v>195</v>
      </c>
      <c r="D34" s="18" t="s">
        <v>121</v>
      </c>
      <c r="E34" s="34">
        <v>2003</v>
      </c>
      <c r="F34" s="35">
        <v>1.1</v>
      </c>
      <c r="G34" s="12">
        <v>2003</v>
      </c>
      <c r="I34" s="38">
        <f t="shared" si="7"/>
        <v>1.1</v>
      </c>
      <c r="J34" s="38">
        <f t="shared" si="8"/>
        <v>0</v>
      </c>
      <c r="K34" s="38">
        <f t="shared" si="9"/>
        <v>0</v>
      </c>
      <c r="L34" s="38">
        <f t="shared" si="10"/>
        <v>0</v>
      </c>
      <c r="M34" s="38">
        <f t="shared" si="11"/>
        <v>0</v>
      </c>
    </row>
    <row r="35" spans="1:13" ht="12.75">
      <c r="A35" s="22">
        <v>10</v>
      </c>
      <c r="B35" s="36" t="s">
        <v>367</v>
      </c>
      <c r="C35" s="18" t="s">
        <v>65</v>
      </c>
      <c r="D35" s="18" t="s">
        <v>116</v>
      </c>
      <c r="E35" s="34">
        <v>2003</v>
      </c>
      <c r="F35" s="35">
        <v>1.1</v>
      </c>
      <c r="G35" s="12">
        <v>2003</v>
      </c>
      <c r="I35" s="38">
        <f t="shared" si="7"/>
        <v>1.1</v>
      </c>
      <c r="J35" s="38">
        <f t="shared" si="8"/>
        <v>0</v>
      </c>
      <c r="K35" s="38">
        <f t="shared" si="9"/>
        <v>0</v>
      </c>
      <c r="L35" s="38">
        <f t="shared" si="10"/>
        <v>0</v>
      </c>
      <c r="M35" s="38">
        <f t="shared" si="11"/>
        <v>0</v>
      </c>
    </row>
    <row r="36" spans="1:13" ht="12.75">
      <c r="A36" s="22">
        <v>11</v>
      </c>
      <c r="B36" s="36"/>
      <c r="D36" s="18"/>
      <c r="E36" s="34"/>
      <c r="F36" s="35"/>
      <c r="G36" s="12"/>
      <c r="I36" s="38">
        <f t="shared" si="7"/>
        <v>0</v>
      </c>
      <c r="J36" s="38">
        <f t="shared" si="8"/>
        <v>0</v>
      </c>
      <c r="K36" s="38">
        <f t="shared" si="9"/>
        <v>0</v>
      </c>
      <c r="L36" s="38">
        <f t="shared" si="10"/>
        <v>0</v>
      </c>
      <c r="M36" s="38">
        <f t="shared" si="11"/>
        <v>0</v>
      </c>
    </row>
    <row r="37" spans="1:13" ht="12.75">
      <c r="A37" s="22">
        <v>12</v>
      </c>
      <c r="B37" s="36"/>
      <c r="D37" s="18"/>
      <c r="E37" s="34"/>
      <c r="F37" s="35"/>
      <c r="G37" s="12"/>
      <c r="I37" s="38">
        <f t="shared" si="2"/>
        <v>0</v>
      </c>
      <c r="J37" s="38">
        <f t="shared" si="3"/>
        <v>0</v>
      </c>
      <c r="K37" s="38">
        <f t="shared" si="4"/>
        <v>0</v>
      </c>
      <c r="L37" s="38">
        <f t="shared" si="5"/>
        <v>0</v>
      </c>
      <c r="M37" s="38">
        <f t="shared" si="6"/>
        <v>0</v>
      </c>
    </row>
    <row r="38" spans="9:13" ht="7.5" customHeight="1">
      <c r="I38" s="36"/>
      <c r="J38" s="36"/>
      <c r="K38" s="36"/>
      <c r="L38" s="36"/>
      <c r="M38" s="36"/>
    </row>
    <row r="39" spans="9:13" ht="12.75">
      <c r="I39" s="39">
        <f>+SUM(I26:I38)</f>
        <v>10.999999999999998</v>
      </c>
      <c r="J39" s="39">
        <f>+SUM(J26:J38)</f>
        <v>0</v>
      </c>
      <c r="K39" s="39">
        <f>+SUM(K26:K38)</f>
        <v>0</v>
      </c>
      <c r="L39" s="39">
        <f>+SUM(L26:L38)</f>
        <v>0</v>
      </c>
      <c r="M39" s="39">
        <f>+SUM(M26:M38)</f>
        <v>0</v>
      </c>
    </row>
    <row r="40" spans="9:13" ht="12.75">
      <c r="I40" s="26"/>
      <c r="J40" s="26"/>
      <c r="K40" s="26"/>
      <c r="L40" s="26"/>
      <c r="M40" s="26"/>
    </row>
    <row r="41" spans="1:13" ht="15.75">
      <c r="A41" s="60" t="s">
        <v>23</v>
      </c>
      <c r="B41" s="16"/>
      <c r="C41" s="28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9:13" ht="7.5" customHeight="1">
      <c r="I42" s="26"/>
      <c r="J42" s="26"/>
      <c r="K42" s="26"/>
      <c r="L42" s="26"/>
      <c r="M42" s="26"/>
    </row>
    <row r="43" spans="1:13" ht="12.75">
      <c r="A43" s="22"/>
      <c r="B43" s="19" t="s">
        <v>26</v>
      </c>
      <c r="C43" s="20"/>
      <c r="D43" s="20"/>
      <c r="E43" s="20"/>
      <c r="F43" s="20" t="s">
        <v>25</v>
      </c>
      <c r="G43" s="20" t="s">
        <v>24</v>
      </c>
      <c r="I43" s="21">
        <f>+I$3</f>
        <v>2003</v>
      </c>
      <c r="J43" s="21">
        <f>+J$3</f>
        <v>2004</v>
      </c>
      <c r="K43" s="21">
        <f>+K$3</f>
        <v>2005</v>
      </c>
      <c r="L43" s="21">
        <f>+L$3</f>
        <v>2006</v>
      </c>
      <c r="M43" s="21">
        <f>+M$3</f>
        <v>2007</v>
      </c>
    </row>
    <row r="44" spans="1:13" ht="7.5" customHeight="1">
      <c r="A44" s="22"/>
      <c r="I44" s="58"/>
      <c r="J44" s="58"/>
      <c r="K44" s="58"/>
      <c r="L44" s="58"/>
      <c r="M44" s="58"/>
    </row>
    <row r="45" spans="1:13" ht="12.75">
      <c r="A45" s="22">
        <v>1</v>
      </c>
      <c r="B45" s="125"/>
      <c r="C45" s="125"/>
      <c r="D45" s="125"/>
      <c r="E45" s="125"/>
      <c r="I45" s="58"/>
      <c r="J45" s="58"/>
      <c r="K45" s="58"/>
      <c r="L45" s="58"/>
      <c r="M45" s="58"/>
    </row>
    <row r="46" spans="1:13" ht="12.75">
      <c r="A46" s="22">
        <v>2</v>
      </c>
      <c r="B46" s="125"/>
      <c r="C46" s="125"/>
      <c r="D46" s="125"/>
      <c r="E46" s="125"/>
      <c r="I46" s="58"/>
      <c r="J46" s="58"/>
      <c r="K46" s="58"/>
      <c r="L46" s="58"/>
      <c r="M46" s="58"/>
    </row>
    <row r="47" spans="1:13" ht="7.5" customHeight="1">
      <c r="A47" s="22"/>
      <c r="I47" s="58"/>
      <c r="J47" s="58"/>
      <c r="K47" s="58"/>
      <c r="L47" s="58"/>
      <c r="M47" s="58"/>
    </row>
    <row r="48" spans="1:13" ht="12.75">
      <c r="A48" s="22"/>
      <c r="I48" s="26">
        <f>+SUM(I45:I47)</f>
        <v>0</v>
      </c>
      <c r="J48" s="26">
        <f>+SUM(J45:J47)</f>
        <v>0</v>
      </c>
      <c r="K48" s="26">
        <f>+SUM(K45:K47)</f>
        <v>0</v>
      </c>
      <c r="L48" s="26">
        <f>+SUM(L45:L47)</f>
        <v>0</v>
      </c>
      <c r="M48" s="26">
        <f>+SUM(M45:M47)</f>
        <v>0</v>
      </c>
    </row>
    <row r="49" spans="9:13" ht="12.75">
      <c r="I49" s="25"/>
      <c r="J49" s="25"/>
      <c r="K49" s="25"/>
      <c r="L49" s="25"/>
      <c r="M49" s="25"/>
    </row>
    <row r="50" spans="1:13" ht="15.75">
      <c r="A50" s="29"/>
      <c r="B50" s="30" t="s">
        <v>27</v>
      </c>
      <c r="C50" s="31"/>
      <c r="D50" s="32"/>
      <c r="E50" s="32"/>
      <c r="F50" s="32"/>
      <c r="G50" s="29"/>
      <c r="H50" s="32"/>
      <c r="I50" s="33">
        <f>+I20+I39+I48</f>
        <v>60.500000000000014</v>
      </c>
      <c r="J50" s="33">
        <f>+J20+J39+J48</f>
        <v>36</v>
      </c>
      <c r="K50" s="33">
        <f>+K20+K39+K48</f>
        <v>25</v>
      </c>
      <c r="L50" s="33">
        <f>+L20+L39+L48</f>
        <v>11</v>
      </c>
      <c r="M50" s="33">
        <f>+M20+M39+M48</f>
        <v>0</v>
      </c>
    </row>
  </sheetData>
  <sheetProtection/>
  <mergeCells count="2">
    <mergeCell ref="B45:E45"/>
    <mergeCell ref="B46:E4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253</v>
      </c>
      <c r="C5" s="18" t="s">
        <v>157</v>
      </c>
      <c r="D5" s="18" t="s">
        <v>86</v>
      </c>
      <c r="E5" s="34" t="s">
        <v>57</v>
      </c>
      <c r="F5" s="35">
        <v>11.4</v>
      </c>
      <c r="G5" s="12">
        <v>2007</v>
      </c>
      <c r="I5" s="37">
        <f aca="true" t="shared" si="0" ref="I5:M14">+IF($G5&gt;=I$3,$F5,0)</f>
        <v>11.4</v>
      </c>
      <c r="J5" s="37">
        <f t="shared" si="0"/>
        <v>11.4</v>
      </c>
      <c r="K5" s="37">
        <f t="shared" si="0"/>
        <v>11.4</v>
      </c>
      <c r="L5" s="37">
        <f t="shared" si="0"/>
        <v>11.4</v>
      </c>
      <c r="M5" s="37">
        <f t="shared" si="0"/>
        <v>11.4</v>
      </c>
    </row>
    <row r="6" spans="1:13" ht="12.75">
      <c r="A6" s="22">
        <v>2</v>
      </c>
      <c r="B6" s="36" t="s">
        <v>255</v>
      </c>
      <c r="C6" s="18" t="s">
        <v>173</v>
      </c>
      <c r="D6" s="18" t="s">
        <v>112</v>
      </c>
      <c r="E6" s="34" t="s">
        <v>57</v>
      </c>
      <c r="F6" s="35">
        <v>8.35</v>
      </c>
      <c r="G6" s="12">
        <v>2007</v>
      </c>
      <c r="I6" s="38">
        <f t="shared" si="0"/>
        <v>8.35</v>
      </c>
      <c r="J6" s="38">
        <f t="shared" si="0"/>
        <v>8.35</v>
      </c>
      <c r="K6" s="38">
        <f t="shared" si="0"/>
        <v>8.35</v>
      </c>
      <c r="L6" s="38">
        <f t="shared" si="0"/>
        <v>8.35</v>
      </c>
      <c r="M6" s="38">
        <f t="shared" si="0"/>
        <v>8.35</v>
      </c>
    </row>
    <row r="7" spans="1:13" ht="12.75">
      <c r="A7" s="22">
        <v>3</v>
      </c>
      <c r="B7" s="36" t="s">
        <v>262</v>
      </c>
      <c r="C7" s="18" t="s">
        <v>196</v>
      </c>
      <c r="D7" s="18" t="s">
        <v>94</v>
      </c>
      <c r="E7" s="34" t="s">
        <v>57</v>
      </c>
      <c r="F7" s="35">
        <v>2.2</v>
      </c>
      <c r="G7" s="12">
        <v>2007</v>
      </c>
      <c r="I7" s="38">
        <f t="shared" si="0"/>
        <v>2.2</v>
      </c>
      <c r="J7" s="38">
        <f t="shared" si="0"/>
        <v>2.2</v>
      </c>
      <c r="K7" s="38">
        <f t="shared" si="0"/>
        <v>2.2</v>
      </c>
      <c r="L7" s="38">
        <f t="shared" si="0"/>
        <v>2.2</v>
      </c>
      <c r="M7" s="38">
        <f t="shared" si="0"/>
        <v>2.2</v>
      </c>
    </row>
    <row r="8" spans="1:13" ht="12.75">
      <c r="A8" s="22">
        <v>4</v>
      </c>
      <c r="B8" s="36" t="s">
        <v>254</v>
      </c>
      <c r="C8" s="18" t="s">
        <v>148</v>
      </c>
      <c r="D8" s="18" t="s">
        <v>114</v>
      </c>
      <c r="E8" s="34" t="s">
        <v>57</v>
      </c>
      <c r="F8" s="35">
        <v>6.1</v>
      </c>
      <c r="G8" s="12">
        <v>2004</v>
      </c>
      <c r="I8" s="38">
        <f t="shared" si="0"/>
        <v>6.1</v>
      </c>
      <c r="J8" s="38">
        <f t="shared" si="0"/>
        <v>6.1</v>
      </c>
      <c r="K8" s="38">
        <f t="shared" si="0"/>
        <v>0</v>
      </c>
      <c r="L8" s="38">
        <f t="shared" si="0"/>
        <v>0</v>
      </c>
      <c r="M8" s="38">
        <f t="shared" si="0"/>
        <v>0</v>
      </c>
    </row>
    <row r="9" spans="1:13" ht="12.75">
      <c r="A9" s="22">
        <v>5</v>
      </c>
      <c r="B9" s="36" t="s">
        <v>256</v>
      </c>
      <c r="C9" s="18" t="s">
        <v>151</v>
      </c>
      <c r="D9" s="18" t="s">
        <v>78</v>
      </c>
      <c r="E9" s="34" t="s">
        <v>57</v>
      </c>
      <c r="F9" s="35">
        <v>8.7</v>
      </c>
      <c r="G9" s="12">
        <v>2003</v>
      </c>
      <c r="I9" s="38">
        <f t="shared" si="0"/>
        <v>8.7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36" t="s">
        <v>132</v>
      </c>
      <c r="C10" s="18" t="s">
        <v>65</v>
      </c>
      <c r="D10" s="18" t="s">
        <v>103</v>
      </c>
      <c r="E10" s="34" t="s">
        <v>57</v>
      </c>
      <c r="F10" s="35">
        <v>2.5</v>
      </c>
      <c r="G10" s="12">
        <v>2003</v>
      </c>
      <c r="I10" s="38">
        <f t="shared" si="0"/>
        <v>2.5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320</v>
      </c>
      <c r="C11" s="18" t="s">
        <v>148</v>
      </c>
      <c r="D11" s="18" t="s">
        <v>77</v>
      </c>
      <c r="E11" s="34" t="s">
        <v>57</v>
      </c>
      <c r="F11" s="35">
        <v>1.1</v>
      </c>
      <c r="G11" s="12">
        <v>2003</v>
      </c>
      <c r="I11" s="38">
        <f t="shared" si="0"/>
        <v>1.1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199</v>
      </c>
      <c r="C12" s="18" t="s">
        <v>196</v>
      </c>
      <c r="D12" s="18" t="s">
        <v>56</v>
      </c>
      <c r="E12" s="34" t="s">
        <v>57</v>
      </c>
      <c r="F12" s="35">
        <v>1.1</v>
      </c>
      <c r="G12" s="12">
        <v>2003</v>
      </c>
      <c r="I12" s="38">
        <f t="shared" si="0"/>
        <v>1.1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322</v>
      </c>
      <c r="C13" s="18" t="s">
        <v>55</v>
      </c>
      <c r="D13" s="18" t="s">
        <v>85</v>
      </c>
      <c r="E13" s="34" t="s">
        <v>57</v>
      </c>
      <c r="F13" s="35">
        <v>1.1</v>
      </c>
      <c r="G13" s="12">
        <v>2003</v>
      </c>
      <c r="I13" s="38">
        <f t="shared" si="0"/>
        <v>1.1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323</v>
      </c>
      <c r="C14" s="18" t="s">
        <v>157</v>
      </c>
      <c r="D14" s="18" t="s">
        <v>116</v>
      </c>
      <c r="E14" s="34" t="s">
        <v>57</v>
      </c>
      <c r="F14" s="35">
        <v>1.1</v>
      </c>
      <c r="G14" s="12">
        <v>2003</v>
      </c>
      <c r="I14" s="38">
        <f t="shared" si="0"/>
        <v>1.1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333</v>
      </c>
      <c r="C15" s="18" t="s">
        <v>55</v>
      </c>
      <c r="D15" s="18" t="s">
        <v>83</v>
      </c>
      <c r="E15" s="34" t="s">
        <v>57</v>
      </c>
      <c r="F15" s="35">
        <v>1.1</v>
      </c>
      <c r="G15" s="12">
        <v>2003</v>
      </c>
      <c r="I15" s="38">
        <f aca="true" t="shared" si="1" ref="I15:M18">+IF($G15&gt;=I$3,$F15,0)</f>
        <v>1.1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289</v>
      </c>
      <c r="C16" s="18" t="s">
        <v>55</v>
      </c>
      <c r="D16" s="18" t="s">
        <v>112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353</v>
      </c>
      <c r="C17" s="18" t="s">
        <v>148</v>
      </c>
      <c r="D17" s="18" t="s">
        <v>77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354</v>
      </c>
      <c r="C18" s="18" t="s">
        <v>173</v>
      </c>
      <c r="D18" s="18" t="s">
        <v>136</v>
      </c>
      <c r="E18" s="34" t="s">
        <v>57</v>
      </c>
      <c r="F18" s="35">
        <v>1.1</v>
      </c>
      <c r="G18" s="12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48.05000000000001</v>
      </c>
      <c r="J20" s="39">
        <f>+SUM(J5:J18)</f>
        <v>28.049999999999997</v>
      </c>
      <c r="K20" s="39">
        <f>+SUM(K5:K18)</f>
        <v>21.95</v>
      </c>
      <c r="L20" s="39">
        <f>+SUM(L5:L18)</f>
        <v>21.95</v>
      </c>
      <c r="M20" s="39">
        <f>+SUM(M5:M18)</f>
        <v>21.95</v>
      </c>
    </row>
    <row r="22" spans="1:13" ht="15.75">
      <c r="A22" s="27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321</v>
      </c>
      <c r="C26" s="18" t="s">
        <v>151</v>
      </c>
      <c r="D26" s="18" t="s">
        <v>56</v>
      </c>
      <c r="E26" s="34">
        <v>2003</v>
      </c>
      <c r="F26" s="35">
        <v>1.1</v>
      </c>
      <c r="G26" s="12">
        <v>2003</v>
      </c>
      <c r="I26" s="37">
        <f>+CEILING(IF($I$24=E26,F26,IF($I$24&lt;=G26,F26*0.3,0)),0.05)</f>
        <v>1.1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 t="s">
        <v>345</v>
      </c>
      <c r="C27" s="18" t="s">
        <v>151</v>
      </c>
      <c r="D27" s="18" t="s">
        <v>98</v>
      </c>
      <c r="E27" s="34">
        <v>2003</v>
      </c>
      <c r="F27" s="35">
        <v>1.1</v>
      </c>
      <c r="G27" s="12">
        <v>2003</v>
      </c>
      <c r="I27" s="38">
        <f>+CEILING(IF($I$24=E27,F27,IF($I$24&lt;=G27,F27*0.3,0)),0.05)</f>
        <v>1.1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 t="s">
        <v>356</v>
      </c>
      <c r="C28" s="18" t="s">
        <v>148</v>
      </c>
      <c r="D28" s="18" t="s">
        <v>87</v>
      </c>
      <c r="E28" s="34">
        <v>2003</v>
      </c>
      <c r="F28" s="35">
        <v>1.1</v>
      </c>
      <c r="G28" s="12">
        <v>2003</v>
      </c>
      <c r="I28" s="38">
        <f>+CEILING(IF($I$24=E28,F28,IF($I$24&lt;=G28,F28*0.3,0)),0.05)</f>
        <v>1.1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/>
      <c r="D29" s="18"/>
      <c r="E29" s="34"/>
      <c r="F29" s="35"/>
      <c r="G29" s="12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B30" s="36"/>
      <c r="D30" s="18"/>
      <c r="E30" s="34"/>
      <c r="F30" s="35"/>
      <c r="G30" s="12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3.3000000000000003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27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58"/>
      <c r="J37" s="58"/>
      <c r="K37" s="58"/>
      <c r="L37" s="58"/>
      <c r="M37" s="58"/>
    </row>
    <row r="38" spans="1:13" ht="12.75">
      <c r="A38" s="22">
        <v>1</v>
      </c>
      <c r="B38" s="125"/>
      <c r="C38" s="125"/>
      <c r="D38" s="125"/>
      <c r="E38" s="125"/>
      <c r="F38" s="40"/>
      <c r="G38" s="18"/>
      <c r="I38" s="58">
        <v>0</v>
      </c>
      <c r="J38" s="58">
        <v>0</v>
      </c>
      <c r="K38" s="58">
        <v>0</v>
      </c>
      <c r="L38" s="58">
        <v>0</v>
      </c>
      <c r="M38" s="58">
        <v>0</v>
      </c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51.35000000000001</v>
      </c>
      <c r="J43" s="33">
        <f>+J20+J32+J41</f>
        <v>28.049999999999997</v>
      </c>
      <c r="K43" s="33">
        <f>+K20+K32+K41</f>
        <v>21.95</v>
      </c>
      <c r="L43" s="33">
        <f>+L20+L32+L41</f>
        <v>21.95</v>
      </c>
      <c r="M43" s="33">
        <f>+M20+M32+M41</f>
        <v>21.95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261</v>
      </c>
      <c r="C5" s="18" t="s">
        <v>55</v>
      </c>
      <c r="D5" s="18" t="s">
        <v>121</v>
      </c>
      <c r="E5" s="34" t="s">
        <v>57</v>
      </c>
      <c r="F5" s="35">
        <v>2.5</v>
      </c>
      <c r="G5" s="12">
        <v>2007</v>
      </c>
      <c r="I5" s="37">
        <f aca="true" t="shared" si="0" ref="I5:M14">+IF($G5&gt;=I$3,$F5,0)</f>
        <v>2.5</v>
      </c>
      <c r="J5" s="37">
        <f t="shared" si="0"/>
        <v>2.5</v>
      </c>
      <c r="K5" s="37">
        <f t="shared" si="0"/>
        <v>2.5</v>
      </c>
      <c r="L5" s="37">
        <f t="shared" si="0"/>
        <v>2.5</v>
      </c>
      <c r="M5" s="37">
        <f t="shared" si="0"/>
        <v>2.5</v>
      </c>
    </row>
    <row r="6" spans="1:13" ht="12.75">
      <c r="A6" s="22">
        <v>2</v>
      </c>
      <c r="B6" s="36" t="s">
        <v>84</v>
      </c>
      <c r="C6" s="18" t="s">
        <v>196</v>
      </c>
      <c r="D6" s="18" t="s">
        <v>85</v>
      </c>
      <c r="E6" s="34" t="s">
        <v>57</v>
      </c>
      <c r="F6" s="35">
        <v>15</v>
      </c>
      <c r="G6" s="12">
        <v>2006</v>
      </c>
      <c r="I6" s="38">
        <f t="shared" si="0"/>
        <v>15</v>
      </c>
      <c r="J6" s="38">
        <f t="shared" si="0"/>
        <v>15</v>
      </c>
      <c r="K6" s="38">
        <f t="shared" si="0"/>
        <v>15</v>
      </c>
      <c r="L6" s="38">
        <f t="shared" si="0"/>
        <v>15</v>
      </c>
      <c r="M6" s="38">
        <f t="shared" si="0"/>
        <v>0</v>
      </c>
    </row>
    <row r="7" spans="1:13" ht="12.75">
      <c r="A7" s="22">
        <v>3</v>
      </c>
      <c r="B7" s="36" t="s">
        <v>58</v>
      </c>
      <c r="C7" s="18" t="s">
        <v>55</v>
      </c>
      <c r="D7" s="18" t="s">
        <v>59</v>
      </c>
      <c r="E7" s="34" t="s">
        <v>57</v>
      </c>
      <c r="F7" s="35">
        <v>11.75</v>
      </c>
      <c r="G7" s="12">
        <v>2006</v>
      </c>
      <c r="I7" s="38">
        <f t="shared" si="0"/>
        <v>11.75</v>
      </c>
      <c r="J7" s="38">
        <f t="shared" si="0"/>
        <v>11.75</v>
      </c>
      <c r="K7" s="38">
        <f t="shared" si="0"/>
        <v>11.75</v>
      </c>
      <c r="L7" s="38">
        <f t="shared" si="0"/>
        <v>11.75</v>
      </c>
      <c r="M7" s="38">
        <f t="shared" si="0"/>
        <v>0</v>
      </c>
    </row>
    <row r="8" spans="1:13" ht="12.75">
      <c r="A8" s="22">
        <v>4</v>
      </c>
      <c r="B8" s="36" t="s">
        <v>167</v>
      </c>
      <c r="C8" s="18" t="s">
        <v>173</v>
      </c>
      <c r="D8" s="18" t="s">
        <v>63</v>
      </c>
      <c r="E8" s="34" t="s">
        <v>57</v>
      </c>
      <c r="F8" s="35">
        <v>5.75</v>
      </c>
      <c r="G8" s="12">
        <v>2006</v>
      </c>
      <c r="I8" s="38">
        <f t="shared" si="0"/>
        <v>5.75</v>
      </c>
      <c r="J8" s="38">
        <f t="shared" si="0"/>
        <v>5.75</v>
      </c>
      <c r="K8" s="38">
        <f t="shared" si="0"/>
        <v>5.75</v>
      </c>
      <c r="L8" s="38">
        <f t="shared" si="0"/>
        <v>5.75</v>
      </c>
      <c r="M8" s="38">
        <f t="shared" si="0"/>
        <v>0</v>
      </c>
    </row>
    <row r="9" spans="1:13" ht="12.75">
      <c r="A9" s="22">
        <v>5</v>
      </c>
      <c r="B9" s="36" t="s">
        <v>133</v>
      </c>
      <c r="C9" s="18" t="s">
        <v>55</v>
      </c>
      <c r="D9" s="18" t="s">
        <v>115</v>
      </c>
      <c r="E9" s="34" t="s">
        <v>57</v>
      </c>
      <c r="F9" s="35">
        <v>2.35</v>
      </c>
      <c r="G9" s="12">
        <v>2006</v>
      </c>
      <c r="I9" s="38">
        <f t="shared" si="0"/>
        <v>2.35</v>
      </c>
      <c r="J9" s="38">
        <f t="shared" si="0"/>
        <v>2.35</v>
      </c>
      <c r="K9" s="38">
        <f t="shared" si="0"/>
        <v>2.35</v>
      </c>
      <c r="L9" s="38">
        <f t="shared" si="0"/>
        <v>2.35</v>
      </c>
      <c r="M9" s="38">
        <f t="shared" si="0"/>
        <v>0</v>
      </c>
    </row>
    <row r="10" spans="1:13" ht="12.75">
      <c r="A10" s="22">
        <v>6</v>
      </c>
      <c r="B10" s="36" t="s">
        <v>186</v>
      </c>
      <c r="C10" s="18" t="s">
        <v>151</v>
      </c>
      <c r="D10" s="18" t="s">
        <v>109</v>
      </c>
      <c r="E10" s="34" t="s">
        <v>57</v>
      </c>
      <c r="F10" s="35">
        <v>2.25</v>
      </c>
      <c r="G10" s="12">
        <v>2006</v>
      </c>
      <c r="I10" s="38">
        <f t="shared" si="0"/>
        <v>2.25</v>
      </c>
      <c r="J10" s="38">
        <f t="shared" si="0"/>
        <v>2.25</v>
      </c>
      <c r="K10" s="38">
        <f t="shared" si="0"/>
        <v>2.25</v>
      </c>
      <c r="L10" s="38">
        <f t="shared" si="0"/>
        <v>2.25</v>
      </c>
      <c r="M10" s="38">
        <f t="shared" si="0"/>
        <v>0</v>
      </c>
    </row>
    <row r="11" spans="1:13" ht="12.75">
      <c r="A11" s="22">
        <v>7</v>
      </c>
      <c r="B11" s="36" t="s">
        <v>122</v>
      </c>
      <c r="C11" s="18" t="s">
        <v>157</v>
      </c>
      <c r="D11" s="18" t="s">
        <v>63</v>
      </c>
      <c r="E11" s="34" t="s">
        <v>57</v>
      </c>
      <c r="F11" s="35">
        <v>6.45</v>
      </c>
      <c r="G11" s="12">
        <v>2005</v>
      </c>
      <c r="I11" s="38">
        <f t="shared" si="0"/>
        <v>6.45</v>
      </c>
      <c r="J11" s="38">
        <f t="shared" si="0"/>
        <v>6.45</v>
      </c>
      <c r="K11" s="38">
        <f t="shared" si="0"/>
        <v>6.45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140</v>
      </c>
      <c r="C12" s="18" t="s">
        <v>148</v>
      </c>
      <c r="D12" s="18" t="s">
        <v>66</v>
      </c>
      <c r="E12" s="34" t="s">
        <v>57</v>
      </c>
      <c r="F12" s="35">
        <v>4.25</v>
      </c>
      <c r="G12" s="12">
        <v>2004</v>
      </c>
      <c r="I12" s="38">
        <f t="shared" si="0"/>
        <v>4.25</v>
      </c>
      <c r="J12" s="38">
        <f t="shared" si="0"/>
        <v>4.25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278</v>
      </c>
      <c r="C13" s="18" t="s">
        <v>148</v>
      </c>
      <c r="D13" s="18" t="s">
        <v>115</v>
      </c>
      <c r="E13" s="34" t="s">
        <v>57</v>
      </c>
      <c r="F13" s="35">
        <v>2.7</v>
      </c>
      <c r="G13" s="12">
        <v>2004</v>
      </c>
      <c r="I13" s="38">
        <f t="shared" si="0"/>
        <v>2.7</v>
      </c>
      <c r="J13" s="38">
        <f t="shared" si="0"/>
        <v>2.7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181</v>
      </c>
      <c r="C14" s="18" t="s">
        <v>157</v>
      </c>
      <c r="D14" s="18" t="s">
        <v>59</v>
      </c>
      <c r="E14" s="34" t="s">
        <v>57</v>
      </c>
      <c r="F14" s="35">
        <v>2</v>
      </c>
      <c r="G14" s="12">
        <v>2004</v>
      </c>
      <c r="I14" s="38">
        <f t="shared" si="0"/>
        <v>2</v>
      </c>
      <c r="J14" s="38">
        <f t="shared" si="0"/>
        <v>2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179</v>
      </c>
      <c r="C15" s="18" t="s">
        <v>196</v>
      </c>
      <c r="D15" s="18" t="s">
        <v>77</v>
      </c>
      <c r="E15" s="34" t="s">
        <v>57</v>
      </c>
      <c r="F15" s="35">
        <v>1.25</v>
      </c>
      <c r="G15" s="12">
        <v>2004</v>
      </c>
      <c r="I15" s="38">
        <f aca="true" t="shared" si="1" ref="I15:M18">+IF($G15&gt;=I$3,$F15,0)</f>
        <v>1.25</v>
      </c>
      <c r="J15" s="38">
        <f t="shared" si="1"/>
        <v>1.25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113</v>
      </c>
      <c r="C16" s="18" t="s">
        <v>76</v>
      </c>
      <c r="D16" s="18" t="s">
        <v>87</v>
      </c>
      <c r="E16" s="34" t="s">
        <v>57</v>
      </c>
      <c r="F16" s="35">
        <v>9</v>
      </c>
      <c r="G16" s="12">
        <v>2003</v>
      </c>
      <c r="I16" s="38">
        <f t="shared" si="1"/>
        <v>9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174</v>
      </c>
      <c r="C17" s="18" t="s">
        <v>173</v>
      </c>
      <c r="D17" s="18" t="s">
        <v>72</v>
      </c>
      <c r="E17" s="34" t="s">
        <v>57</v>
      </c>
      <c r="F17" s="35">
        <v>3.25</v>
      </c>
      <c r="G17" s="12">
        <v>2003</v>
      </c>
      <c r="I17" s="38">
        <f t="shared" si="1"/>
        <v>3.25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17" t="s">
        <v>303</v>
      </c>
      <c r="C18" s="18" t="s">
        <v>76</v>
      </c>
      <c r="D18" s="18" t="s">
        <v>116</v>
      </c>
      <c r="E18" s="18" t="s">
        <v>57</v>
      </c>
      <c r="F18" s="23">
        <v>1.1</v>
      </c>
      <c r="G18" s="24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2:13" ht="12.75">
      <c r="B20" s="36"/>
      <c r="D20" s="18"/>
      <c r="E20" s="34"/>
      <c r="F20" s="35"/>
      <c r="G20" s="12"/>
      <c r="I20" s="39">
        <f>+SUM(I5:I18)</f>
        <v>69.6</v>
      </c>
      <c r="J20" s="39">
        <f>+SUM(J5:J18)</f>
        <v>56.25000000000001</v>
      </c>
      <c r="K20" s="39">
        <f>+SUM(K5:K18)</f>
        <v>46.050000000000004</v>
      </c>
      <c r="L20" s="39">
        <f>+SUM(L5:L18)</f>
        <v>39.6</v>
      </c>
      <c r="M20" s="39">
        <f>+SUM(M5:M18)</f>
        <v>2.5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198</v>
      </c>
      <c r="C26" s="18" t="s">
        <v>148</v>
      </c>
      <c r="D26" s="18" t="s">
        <v>86</v>
      </c>
      <c r="E26" s="34">
        <v>2003</v>
      </c>
      <c r="F26" s="35">
        <v>1.2</v>
      </c>
      <c r="G26" s="12">
        <v>2006</v>
      </c>
      <c r="I26" s="37">
        <f>+CEILING(IF($I$24=E26,F26,IF($I$24&lt;=G26,F26*0.3,0)),0.05)</f>
        <v>1.2000000000000002</v>
      </c>
      <c r="J26" s="37">
        <f>+CEILING(IF($J$24&lt;=G26,F26*0.3,0),0.05)</f>
        <v>0.4</v>
      </c>
      <c r="K26" s="37">
        <f>+CEILING(IF($K$24&lt;=G26,F26*0.3,0),0.05)</f>
        <v>0.4</v>
      </c>
      <c r="L26" s="37">
        <f>+CEILING(IF($L$24&lt;=G26,F26*0.3,0),0.05)</f>
        <v>0.4</v>
      </c>
      <c r="M26" s="37">
        <f>CEILING(IF($M$24&lt;=G26,F26*0.3,0),0.05)</f>
        <v>0</v>
      </c>
    </row>
    <row r="27" spans="1:13" ht="12.75">
      <c r="A27" s="22">
        <v>2</v>
      </c>
      <c r="B27" s="36" t="s">
        <v>315</v>
      </c>
      <c r="C27" s="18" t="s">
        <v>148</v>
      </c>
      <c r="D27" s="18" t="s">
        <v>85</v>
      </c>
      <c r="E27" s="34">
        <v>2003</v>
      </c>
      <c r="F27" s="35">
        <v>1.1</v>
      </c>
      <c r="G27" s="12">
        <v>2005</v>
      </c>
      <c r="I27" s="38">
        <f>+CEILING(IF($I$24=E27,F27,IF($I$24&lt;=G27,F27*0.3,0)),0.05)</f>
        <v>1.1</v>
      </c>
      <c r="J27" s="38">
        <f>+CEILING(IF($J$24&lt;=G27,F27*0.3,0),0.05)</f>
        <v>0.35000000000000003</v>
      </c>
      <c r="K27" s="38">
        <f>+CEILING(IF($K$24&lt;=G27,F27*0.3,0),0.05)</f>
        <v>0.35000000000000003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 t="s">
        <v>359</v>
      </c>
      <c r="C28" s="18" t="s">
        <v>148</v>
      </c>
      <c r="D28" s="18" t="s">
        <v>59</v>
      </c>
      <c r="E28" s="34">
        <v>2003</v>
      </c>
      <c r="F28" s="35">
        <v>1.1</v>
      </c>
      <c r="G28" s="12">
        <v>2003</v>
      </c>
      <c r="I28" s="38">
        <f>+CEILING(IF($I$24=E28,F28,IF($I$24&lt;=G28,F28*0.3,0)),0.05)</f>
        <v>1.1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D29" s="18"/>
      <c r="E29" s="18"/>
      <c r="G29" s="18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D30" s="18"/>
      <c r="E30" s="18"/>
      <c r="G30" s="18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3.4000000000000004</v>
      </c>
      <c r="J32" s="39">
        <f>+SUM(J26:J31)</f>
        <v>0.75</v>
      </c>
      <c r="K32" s="39">
        <f>+SUM(K26:K31)</f>
        <v>0.75</v>
      </c>
      <c r="L32" s="39">
        <f>+SUM(L26:L31)</f>
        <v>0.4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58"/>
      <c r="J37" s="58"/>
      <c r="K37" s="58"/>
      <c r="L37" s="58"/>
      <c r="M37" s="58"/>
    </row>
    <row r="38" spans="1:13" ht="12.75">
      <c r="A38" s="22">
        <v>1</v>
      </c>
      <c r="B38" s="125" t="s">
        <v>369</v>
      </c>
      <c r="C38" s="125"/>
      <c r="D38" s="125"/>
      <c r="E38" s="125"/>
      <c r="F38" s="40">
        <v>-0.7</v>
      </c>
      <c r="G38" s="18">
        <v>2004</v>
      </c>
      <c r="I38" s="58">
        <v>-0.7</v>
      </c>
      <c r="J38" s="58">
        <v>-0.7</v>
      </c>
      <c r="K38" s="58">
        <v>0</v>
      </c>
      <c r="L38" s="58">
        <v>0</v>
      </c>
      <c r="M38" s="58">
        <v>0</v>
      </c>
    </row>
    <row r="39" spans="1:13" ht="12.75">
      <c r="A39" s="22">
        <v>2</v>
      </c>
      <c r="B39" s="125" t="s">
        <v>377</v>
      </c>
      <c r="C39" s="125"/>
      <c r="D39" s="125"/>
      <c r="E39" s="125"/>
      <c r="F39" s="40">
        <v>-6.45</v>
      </c>
      <c r="G39" s="18">
        <v>2003</v>
      </c>
      <c r="I39" s="68">
        <v>-6.45</v>
      </c>
      <c r="J39" s="68">
        <v>0</v>
      </c>
      <c r="K39" s="68">
        <v>0</v>
      </c>
      <c r="L39" s="68">
        <v>0</v>
      </c>
      <c r="M39" s="68">
        <v>0</v>
      </c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-7.15</v>
      </c>
      <c r="J41" s="26">
        <f>+SUM(J38:J40)</f>
        <v>-0.7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65.85</v>
      </c>
      <c r="J43" s="33">
        <f>+J20+J32+J41</f>
        <v>56.300000000000004</v>
      </c>
      <c r="K43" s="33">
        <f>+K20+K32+K41</f>
        <v>46.800000000000004</v>
      </c>
      <c r="L43" s="33">
        <f>+L20+L32+L41</f>
        <v>40</v>
      </c>
      <c r="M43" s="33">
        <f>+M20+M32+M41</f>
        <v>2.5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163</v>
      </c>
      <c r="C5" s="18" t="s">
        <v>76</v>
      </c>
      <c r="D5" s="18" t="s">
        <v>63</v>
      </c>
      <c r="E5" s="34" t="s">
        <v>57</v>
      </c>
      <c r="F5" s="35">
        <v>4.75</v>
      </c>
      <c r="G5" s="12">
        <v>2006</v>
      </c>
      <c r="I5" s="37">
        <f aca="true" t="shared" si="0" ref="I5:M14">+IF($G5&gt;=I$3,$F5,0)</f>
        <v>4.75</v>
      </c>
      <c r="J5" s="37">
        <f t="shared" si="0"/>
        <v>4.75</v>
      </c>
      <c r="K5" s="37">
        <f t="shared" si="0"/>
        <v>4.75</v>
      </c>
      <c r="L5" s="37">
        <f t="shared" si="0"/>
        <v>4.75</v>
      </c>
      <c r="M5" s="37">
        <f t="shared" si="0"/>
        <v>0</v>
      </c>
    </row>
    <row r="6" spans="1:13" ht="12.75">
      <c r="A6" s="22">
        <v>2</v>
      </c>
      <c r="B6" s="36" t="s">
        <v>95</v>
      </c>
      <c r="C6" s="18" t="s">
        <v>173</v>
      </c>
      <c r="D6" s="18" t="s">
        <v>86</v>
      </c>
      <c r="E6" s="34" t="s">
        <v>57</v>
      </c>
      <c r="F6" s="35">
        <v>11.5</v>
      </c>
      <c r="G6" s="12">
        <v>2005</v>
      </c>
      <c r="I6" s="38">
        <f t="shared" si="0"/>
        <v>11.5</v>
      </c>
      <c r="J6" s="38">
        <f t="shared" si="0"/>
        <v>11.5</v>
      </c>
      <c r="K6" s="38">
        <f t="shared" si="0"/>
        <v>11.5</v>
      </c>
      <c r="L6" s="38">
        <f t="shared" si="0"/>
        <v>0</v>
      </c>
      <c r="M6" s="38">
        <f t="shared" si="0"/>
        <v>0</v>
      </c>
    </row>
    <row r="7" spans="1:13" ht="12.75">
      <c r="A7" s="22">
        <v>3</v>
      </c>
      <c r="B7" s="36" t="s">
        <v>266</v>
      </c>
      <c r="C7" s="18" t="s">
        <v>76</v>
      </c>
      <c r="D7" s="18" t="s">
        <v>68</v>
      </c>
      <c r="E7" s="34" t="s">
        <v>57</v>
      </c>
      <c r="F7" s="35">
        <v>1.25</v>
      </c>
      <c r="G7" s="12">
        <v>2005</v>
      </c>
      <c r="I7" s="38">
        <f t="shared" si="0"/>
        <v>1.25</v>
      </c>
      <c r="J7" s="38">
        <f t="shared" si="0"/>
        <v>1.25</v>
      </c>
      <c r="K7" s="38">
        <f t="shared" si="0"/>
        <v>1.25</v>
      </c>
      <c r="L7" s="38">
        <f t="shared" si="0"/>
        <v>0</v>
      </c>
      <c r="M7" s="38">
        <f t="shared" si="0"/>
        <v>0</v>
      </c>
    </row>
    <row r="8" spans="1:13" ht="12.75">
      <c r="A8" s="22">
        <v>4</v>
      </c>
      <c r="B8" s="36" t="s">
        <v>90</v>
      </c>
      <c r="C8" s="18" t="s">
        <v>151</v>
      </c>
      <c r="D8" s="18" t="s">
        <v>72</v>
      </c>
      <c r="E8" s="34" t="s">
        <v>57</v>
      </c>
      <c r="F8" s="35">
        <v>10</v>
      </c>
      <c r="G8" s="13">
        <v>2004</v>
      </c>
      <c r="I8" s="38">
        <f t="shared" si="0"/>
        <v>10</v>
      </c>
      <c r="J8" s="38">
        <f t="shared" si="0"/>
        <v>10</v>
      </c>
      <c r="K8" s="38">
        <f t="shared" si="0"/>
        <v>0</v>
      </c>
      <c r="L8" s="38">
        <f t="shared" si="0"/>
        <v>0</v>
      </c>
      <c r="M8" s="38">
        <f t="shared" si="0"/>
        <v>0</v>
      </c>
    </row>
    <row r="9" spans="1:13" ht="12.75">
      <c r="A9" s="22">
        <v>5</v>
      </c>
      <c r="B9" s="36" t="s">
        <v>89</v>
      </c>
      <c r="C9" s="18" t="s">
        <v>151</v>
      </c>
      <c r="D9" s="18" t="s">
        <v>66</v>
      </c>
      <c r="E9" s="34" t="s">
        <v>57</v>
      </c>
      <c r="F9" s="35">
        <v>8</v>
      </c>
      <c r="G9" s="12">
        <v>2004</v>
      </c>
      <c r="I9" s="38">
        <f t="shared" si="0"/>
        <v>8</v>
      </c>
      <c r="J9" s="38">
        <f t="shared" si="0"/>
        <v>8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36" t="s">
        <v>71</v>
      </c>
      <c r="C10" s="18" t="s">
        <v>55</v>
      </c>
      <c r="D10" s="18" t="s">
        <v>79</v>
      </c>
      <c r="E10" s="34" t="s">
        <v>57</v>
      </c>
      <c r="F10" s="35">
        <v>5</v>
      </c>
      <c r="G10" s="12">
        <v>2004</v>
      </c>
      <c r="I10" s="38">
        <f t="shared" si="0"/>
        <v>5</v>
      </c>
      <c r="J10" s="38">
        <f t="shared" si="0"/>
        <v>5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155</v>
      </c>
      <c r="C11" s="18" t="s">
        <v>196</v>
      </c>
      <c r="D11" s="18" t="s">
        <v>85</v>
      </c>
      <c r="E11" s="34" t="s">
        <v>57</v>
      </c>
      <c r="F11" s="35">
        <v>3.25</v>
      </c>
      <c r="G11" s="12">
        <v>2004</v>
      </c>
      <c r="I11" s="38">
        <f t="shared" si="0"/>
        <v>3.25</v>
      </c>
      <c r="J11" s="38">
        <f t="shared" si="0"/>
        <v>3.25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312</v>
      </c>
      <c r="C12" s="18" t="s">
        <v>55</v>
      </c>
      <c r="D12" s="18" t="s">
        <v>98</v>
      </c>
      <c r="E12" s="34" t="s">
        <v>57</v>
      </c>
      <c r="F12" s="35">
        <v>1.95</v>
      </c>
      <c r="G12" s="12">
        <v>2004</v>
      </c>
      <c r="I12" s="38">
        <f t="shared" si="0"/>
        <v>1.95</v>
      </c>
      <c r="J12" s="38">
        <f t="shared" si="0"/>
        <v>1.95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154</v>
      </c>
      <c r="C13" s="18" t="s">
        <v>196</v>
      </c>
      <c r="D13" s="18" t="s">
        <v>63</v>
      </c>
      <c r="E13" s="34" t="s">
        <v>57</v>
      </c>
      <c r="F13" s="35">
        <v>3.75</v>
      </c>
      <c r="G13" s="12">
        <v>2003</v>
      </c>
      <c r="I13" s="38">
        <f t="shared" si="0"/>
        <v>3.75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379</v>
      </c>
      <c r="C14" s="18" t="s">
        <v>76</v>
      </c>
      <c r="D14" s="18" t="s">
        <v>79</v>
      </c>
      <c r="E14" s="34" t="s">
        <v>57</v>
      </c>
      <c r="F14" s="35">
        <v>1.1</v>
      </c>
      <c r="G14" s="12">
        <v>2003</v>
      </c>
      <c r="I14" s="38">
        <f t="shared" si="0"/>
        <v>1.1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145</v>
      </c>
      <c r="C15" s="18" t="s">
        <v>151</v>
      </c>
      <c r="D15" s="18" t="s">
        <v>59</v>
      </c>
      <c r="E15" s="34" t="s">
        <v>57</v>
      </c>
      <c r="F15" s="35">
        <v>1.1</v>
      </c>
      <c r="G15" s="13">
        <v>2003</v>
      </c>
      <c r="I15" s="38">
        <f aca="true" t="shared" si="1" ref="I15:M18">+IF($G15&gt;=I$3,$F15,0)</f>
        <v>1.1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339</v>
      </c>
      <c r="C16" s="18" t="s">
        <v>157</v>
      </c>
      <c r="D16" s="18" t="s">
        <v>116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319</v>
      </c>
      <c r="C17" s="18" t="s">
        <v>148</v>
      </c>
      <c r="D17" s="18" t="s">
        <v>56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190</v>
      </c>
      <c r="C18" s="18" t="s">
        <v>157</v>
      </c>
      <c r="D18" s="18" t="s">
        <v>109</v>
      </c>
      <c r="E18" s="34" t="s">
        <v>57</v>
      </c>
      <c r="F18" s="35">
        <v>1</v>
      </c>
      <c r="G18" s="12">
        <v>2003</v>
      </c>
      <c r="I18" s="38">
        <f t="shared" si="1"/>
        <v>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54.85000000000001</v>
      </c>
      <c r="J20" s="39">
        <f>+SUM(J5:J18)</f>
        <v>45.7</v>
      </c>
      <c r="K20" s="39">
        <f>+SUM(K5:K18)</f>
        <v>17.5</v>
      </c>
      <c r="L20" s="39">
        <f>+SUM(L5:L18)</f>
        <v>4.75</v>
      </c>
      <c r="M20" s="39">
        <f>+SUM(M5:M18)</f>
        <v>0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247</v>
      </c>
      <c r="C26" s="18" t="s">
        <v>148</v>
      </c>
      <c r="D26" s="18" t="s">
        <v>56</v>
      </c>
      <c r="E26" s="34">
        <v>2003</v>
      </c>
      <c r="F26" s="35">
        <v>1.9</v>
      </c>
      <c r="G26" s="12">
        <v>2004</v>
      </c>
      <c r="I26" s="37">
        <f>+CEILING(IF($I$24=E26,F26,IF($I$24&lt;=G26,F26*0.3,0)),0.05)</f>
        <v>1.9000000000000001</v>
      </c>
      <c r="J26" s="37">
        <f>+CEILING(IF($J$24&lt;=G26,F26*0.3,0),0.05)</f>
        <v>0.6000000000000001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 t="s">
        <v>248</v>
      </c>
      <c r="C27" s="18" t="s">
        <v>195</v>
      </c>
      <c r="D27" s="18" t="s">
        <v>83</v>
      </c>
      <c r="E27" s="34">
        <v>2003</v>
      </c>
      <c r="F27" s="35">
        <v>1.1</v>
      </c>
      <c r="G27" s="12">
        <v>2003</v>
      </c>
      <c r="I27" s="38">
        <f>+CEILING(IF($I$24=E27,F27,IF($I$24&lt;=G27,F27*0.3,0)),0.05)</f>
        <v>1.1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/>
      <c r="D28" s="18"/>
      <c r="E28" s="34"/>
      <c r="F28" s="35"/>
      <c r="G28" s="12"/>
      <c r="I28" s="38">
        <f>+CEILING(IF($I$24=E28,F28,IF($I$24&lt;=G28,F28*0.3,0)),0.05)</f>
        <v>0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/>
      <c r="D29" s="18"/>
      <c r="E29" s="34"/>
      <c r="F29" s="35"/>
      <c r="G29" s="12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B30" s="36"/>
      <c r="D30" s="18"/>
      <c r="E30" s="34"/>
      <c r="F30" s="35"/>
      <c r="G30" s="12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3</v>
      </c>
      <c r="J32" s="39">
        <f>+SUM(J26:J31)</f>
        <v>0.6000000000000001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58"/>
      <c r="J37" s="58"/>
      <c r="K37" s="58"/>
      <c r="L37" s="58"/>
      <c r="M37" s="58"/>
    </row>
    <row r="38" spans="1:13" ht="12.75">
      <c r="A38" s="22">
        <v>1</v>
      </c>
      <c r="B38" s="125"/>
      <c r="C38" s="125"/>
      <c r="D38" s="125"/>
      <c r="E38" s="125"/>
      <c r="I38" s="58"/>
      <c r="J38" s="58"/>
      <c r="K38" s="58"/>
      <c r="L38" s="58"/>
      <c r="M38" s="58"/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57.85000000000001</v>
      </c>
      <c r="J43" s="33">
        <f>+J20+J32+J41</f>
        <v>46.300000000000004</v>
      </c>
      <c r="K43" s="33">
        <f>+K20+K32+K41</f>
        <v>17.5</v>
      </c>
      <c r="L43" s="33">
        <f>+L20+L32+L41</f>
        <v>4.75</v>
      </c>
      <c r="M43" s="33">
        <f>+M20+M32+M41</f>
        <v>0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Light,Bold"&amp;14Greg Moltumyr&amp;R&amp;"Copperplate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383</v>
      </c>
      <c r="C5" s="18" t="s">
        <v>76</v>
      </c>
      <c r="D5" s="18" t="s">
        <v>86</v>
      </c>
      <c r="E5" s="34" t="s">
        <v>57</v>
      </c>
      <c r="F5" s="35">
        <v>15</v>
      </c>
      <c r="G5" s="12">
        <v>2006</v>
      </c>
      <c r="I5" s="37">
        <f aca="true" t="shared" si="0" ref="I5:M14">+IF($G5&gt;=I$3,$F5,0)</f>
        <v>15</v>
      </c>
      <c r="J5" s="37">
        <f t="shared" si="0"/>
        <v>15</v>
      </c>
      <c r="K5" s="37">
        <f t="shared" si="0"/>
        <v>15</v>
      </c>
      <c r="L5" s="37">
        <f t="shared" si="0"/>
        <v>15</v>
      </c>
      <c r="M5" s="37">
        <f t="shared" si="0"/>
        <v>0</v>
      </c>
    </row>
    <row r="6" spans="1:13" ht="12.75">
      <c r="A6" s="22">
        <v>2</v>
      </c>
      <c r="B6" s="36" t="s">
        <v>126</v>
      </c>
      <c r="C6" s="18" t="s">
        <v>173</v>
      </c>
      <c r="D6" s="18" t="s">
        <v>87</v>
      </c>
      <c r="E6" s="34" t="s">
        <v>57</v>
      </c>
      <c r="F6" s="35">
        <v>12.25</v>
      </c>
      <c r="G6" s="12">
        <v>2006</v>
      </c>
      <c r="I6" s="38">
        <f t="shared" si="0"/>
        <v>12.25</v>
      </c>
      <c r="J6" s="38">
        <f t="shared" si="0"/>
        <v>12.25</v>
      </c>
      <c r="K6" s="38">
        <f t="shared" si="0"/>
        <v>12.25</v>
      </c>
      <c r="L6" s="38">
        <f t="shared" si="0"/>
        <v>12.25</v>
      </c>
      <c r="M6" s="38">
        <f t="shared" si="0"/>
        <v>0</v>
      </c>
    </row>
    <row r="7" spans="1:13" ht="12.75">
      <c r="A7" s="22">
        <v>3</v>
      </c>
      <c r="B7" s="36" t="s">
        <v>62</v>
      </c>
      <c r="C7" s="18" t="s">
        <v>151</v>
      </c>
      <c r="D7" s="18" t="s">
        <v>63</v>
      </c>
      <c r="E7" s="34" t="s">
        <v>57</v>
      </c>
      <c r="F7" s="35">
        <v>12</v>
      </c>
      <c r="G7" s="12">
        <v>2006</v>
      </c>
      <c r="I7" s="38">
        <f t="shared" si="0"/>
        <v>12</v>
      </c>
      <c r="J7" s="38">
        <f t="shared" si="0"/>
        <v>12</v>
      </c>
      <c r="K7" s="38">
        <f t="shared" si="0"/>
        <v>12</v>
      </c>
      <c r="L7" s="38">
        <f t="shared" si="0"/>
        <v>12</v>
      </c>
      <c r="M7" s="38">
        <f t="shared" si="0"/>
        <v>0</v>
      </c>
    </row>
    <row r="8" spans="1:13" ht="12.75">
      <c r="A8" s="22">
        <v>4</v>
      </c>
      <c r="B8" s="65" t="s">
        <v>244</v>
      </c>
      <c r="C8" s="18" t="s">
        <v>173</v>
      </c>
      <c r="D8" s="18" t="s">
        <v>83</v>
      </c>
      <c r="E8" s="34" t="s">
        <v>216</v>
      </c>
      <c r="F8" s="35">
        <v>3.05</v>
      </c>
      <c r="G8" s="12">
        <v>2004</v>
      </c>
      <c r="I8" s="38">
        <f t="shared" si="0"/>
        <v>3.05</v>
      </c>
      <c r="J8" s="38">
        <f t="shared" si="0"/>
        <v>3.05</v>
      </c>
      <c r="K8" s="38">
        <f t="shared" si="0"/>
        <v>0</v>
      </c>
      <c r="L8" s="38">
        <f t="shared" si="0"/>
        <v>0</v>
      </c>
      <c r="M8" s="38">
        <f t="shared" si="0"/>
        <v>0</v>
      </c>
    </row>
    <row r="9" spans="1:13" ht="12.75">
      <c r="A9" s="22">
        <v>5</v>
      </c>
      <c r="B9" s="65" t="s">
        <v>272</v>
      </c>
      <c r="C9" s="18" t="s">
        <v>148</v>
      </c>
      <c r="D9" s="18" t="s">
        <v>94</v>
      </c>
      <c r="E9" s="34" t="s">
        <v>57</v>
      </c>
      <c r="F9" s="35">
        <v>2.6</v>
      </c>
      <c r="G9" s="12">
        <v>2003</v>
      </c>
      <c r="I9" s="38">
        <f t="shared" si="0"/>
        <v>2.6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65" t="s">
        <v>273</v>
      </c>
      <c r="C10" s="18" t="s">
        <v>148</v>
      </c>
      <c r="D10" s="18" t="s">
        <v>72</v>
      </c>
      <c r="E10" s="34" t="s">
        <v>57</v>
      </c>
      <c r="F10" s="35">
        <v>2.3</v>
      </c>
      <c r="G10" s="12">
        <v>2003</v>
      </c>
      <c r="I10" s="38">
        <f t="shared" si="0"/>
        <v>2.3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65" t="s">
        <v>276</v>
      </c>
      <c r="C11" s="18" t="s">
        <v>148</v>
      </c>
      <c r="D11" s="18" t="s">
        <v>59</v>
      </c>
      <c r="E11" s="34" t="s">
        <v>57</v>
      </c>
      <c r="F11" s="35">
        <v>1.7</v>
      </c>
      <c r="G11" s="12">
        <v>2003</v>
      </c>
      <c r="I11" s="38">
        <f t="shared" si="0"/>
        <v>1.7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149</v>
      </c>
      <c r="C12" s="18" t="s">
        <v>55</v>
      </c>
      <c r="D12" s="18" t="s">
        <v>69</v>
      </c>
      <c r="E12" s="34" t="s">
        <v>216</v>
      </c>
      <c r="F12" s="35">
        <v>1.55</v>
      </c>
      <c r="G12" s="12">
        <v>2003</v>
      </c>
      <c r="I12" s="38">
        <f t="shared" si="0"/>
        <v>1.55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65" t="s">
        <v>274</v>
      </c>
      <c r="C13" s="18" t="s">
        <v>173</v>
      </c>
      <c r="D13" s="18" t="s">
        <v>59</v>
      </c>
      <c r="E13" s="34" t="s">
        <v>57</v>
      </c>
      <c r="F13" s="35">
        <v>1.5</v>
      </c>
      <c r="G13" s="12">
        <v>2003</v>
      </c>
      <c r="I13" s="38">
        <f t="shared" si="0"/>
        <v>1.5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175</v>
      </c>
      <c r="C14" s="18" t="s">
        <v>55</v>
      </c>
      <c r="D14" s="18" t="s">
        <v>68</v>
      </c>
      <c r="E14" s="34" t="s">
        <v>216</v>
      </c>
      <c r="F14" s="35">
        <v>1.35</v>
      </c>
      <c r="G14" s="12">
        <v>2003</v>
      </c>
      <c r="I14" s="38">
        <f t="shared" si="0"/>
        <v>1.35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65" t="s">
        <v>275</v>
      </c>
      <c r="C15" s="18" t="s">
        <v>157</v>
      </c>
      <c r="D15" s="18" t="s">
        <v>77</v>
      </c>
      <c r="E15" s="34" t="s">
        <v>57</v>
      </c>
      <c r="F15" s="35">
        <v>1.3</v>
      </c>
      <c r="G15" s="12">
        <v>2003</v>
      </c>
      <c r="I15" s="38">
        <f aca="true" t="shared" si="1" ref="I15:M18">+IF($G15&gt;=I$3,$F15,0)</f>
        <v>1.3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65" t="s">
        <v>342</v>
      </c>
      <c r="C16" s="18" t="s">
        <v>196</v>
      </c>
      <c r="D16" s="18" t="s">
        <v>94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65"/>
      <c r="D17" s="18"/>
      <c r="E17" s="34"/>
      <c r="F17" s="35"/>
      <c r="G17" s="12"/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65"/>
      <c r="D18" s="18"/>
      <c r="E18" s="34"/>
      <c r="F18" s="35"/>
      <c r="G18" s="12"/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55.699999999999996</v>
      </c>
      <c r="J20" s="39">
        <f>+SUM(J5:J18)</f>
        <v>42.3</v>
      </c>
      <c r="K20" s="39">
        <f>+SUM(K5:K18)</f>
        <v>39.25</v>
      </c>
      <c r="L20" s="39">
        <f>+SUM(L5:L18)</f>
        <v>39.25</v>
      </c>
      <c r="M20" s="39">
        <f>+SUM(M5:M18)</f>
        <v>0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17" t="s">
        <v>341</v>
      </c>
      <c r="C26" s="18" t="s">
        <v>157</v>
      </c>
      <c r="D26" s="18" t="s">
        <v>68</v>
      </c>
      <c r="E26" s="18">
        <v>2003</v>
      </c>
      <c r="F26" s="40">
        <v>1.1</v>
      </c>
      <c r="G26" s="18">
        <v>2003</v>
      </c>
      <c r="I26" s="37">
        <f>+CEILING(IF($I$24=E26,F26,IF($I$24&lt;=G26,F26*0.3,0)),0.05)</f>
        <v>1.1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65" t="s">
        <v>201</v>
      </c>
      <c r="C27" s="18" t="s">
        <v>151</v>
      </c>
      <c r="D27" s="18" t="s">
        <v>61</v>
      </c>
      <c r="E27" s="34">
        <v>2003</v>
      </c>
      <c r="F27" s="35">
        <v>1</v>
      </c>
      <c r="G27" s="12">
        <v>2003</v>
      </c>
      <c r="I27" s="38">
        <f>+CEILING(IF($I$24=E27,F27,IF($I$24&lt;=G27,F27*0.3,0)),0.05)</f>
        <v>1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D28" s="18"/>
      <c r="E28" s="18"/>
      <c r="G28" s="18"/>
      <c r="I28" s="38">
        <f>+CEILING(IF($I$24=E28,F28,IF($I$24&lt;=G28,F28*0.3,0)),0.05)</f>
        <v>0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D29" s="18"/>
      <c r="E29" s="18"/>
      <c r="G29" s="18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D30" s="18"/>
      <c r="E30" s="18"/>
      <c r="G30" s="18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2.1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J37" s="26"/>
      <c r="K37" s="26"/>
      <c r="L37" s="26"/>
      <c r="M37" s="26"/>
    </row>
    <row r="38" spans="1:13" ht="12.75">
      <c r="A38" s="22">
        <v>1</v>
      </c>
      <c r="B38" s="125"/>
      <c r="C38" s="125"/>
      <c r="D38" s="125"/>
      <c r="E38" s="125"/>
      <c r="I38" s="26"/>
      <c r="J38" s="26"/>
      <c r="K38" s="26"/>
      <c r="L38" s="26"/>
      <c r="M38" s="26"/>
    </row>
    <row r="39" spans="1:13" ht="12.75">
      <c r="A39" s="22">
        <v>2</v>
      </c>
      <c r="B39" s="125"/>
      <c r="C39" s="125"/>
      <c r="D39" s="125"/>
      <c r="E39" s="125"/>
      <c r="I39" s="26"/>
      <c r="J39" s="26"/>
      <c r="K39" s="26"/>
      <c r="L39" s="26"/>
      <c r="M39" s="26"/>
    </row>
    <row r="40" spans="1:13" ht="7.5" customHeight="1">
      <c r="A40" s="22"/>
      <c r="I40" s="26"/>
      <c r="J40" s="26"/>
      <c r="K40" s="26"/>
      <c r="L40" s="26"/>
      <c r="M40" s="26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57.8</v>
      </c>
      <c r="J43" s="33">
        <f>+J20+J32+J41</f>
        <v>42.3</v>
      </c>
      <c r="K43" s="33">
        <f>+K20+K32+K41</f>
        <v>39.25</v>
      </c>
      <c r="L43" s="33">
        <f>+L20+L32+L41</f>
        <v>39.25</v>
      </c>
      <c r="M43" s="33">
        <f>+M20+M32+M41</f>
        <v>0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292</v>
      </c>
      <c r="C5" s="18" t="s">
        <v>76</v>
      </c>
      <c r="D5" s="18" t="s">
        <v>66</v>
      </c>
      <c r="E5" s="34" t="s">
        <v>57</v>
      </c>
      <c r="F5" s="35">
        <v>5.5</v>
      </c>
      <c r="G5" s="13">
        <v>2006</v>
      </c>
      <c r="I5" s="37">
        <f aca="true" t="shared" si="0" ref="I5:M14">+IF($G5&gt;=I$3,$F5,0)</f>
        <v>5.5</v>
      </c>
      <c r="J5" s="37">
        <f t="shared" si="0"/>
        <v>5.5</v>
      </c>
      <c r="K5" s="37">
        <f t="shared" si="0"/>
        <v>5.5</v>
      </c>
      <c r="L5" s="37">
        <f t="shared" si="0"/>
        <v>5.5</v>
      </c>
      <c r="M5" s="37">
        <f t="shared" si="0"/>
        <v>0</v>
      </c>
    </row>
    <row r="6" spans="1:13" ht="12.75">
      <c r="A6" s="22">
        <v>2</v>
      </c>
      <c r="B6" s="36" t="s">
        <v>146</v>
      </c>
      <c r="C6" s="18" t="s">
        <v>148</v>
      </c>
      <c r="D6" s="18" t="s">
        <v>136</v>
      </c>
      <c r="E6" s="34" t="s">
        <v>57</v>
      </c>
      <c r="F6" s="35">
        <v>1.9</v>
      </c>
      <c r="G6" s="12">
        <v>2006</v>
      </c>
      <c r="I6" s="38">
        <f t="shared" si="0"/>
        <v>1.9</v>
      </c>
      <c r="J6" s="38">
        <f t="shared" si="0"/>
        <v>1.9</v>
      </c>
      <c r="K6" s="38">
        <f t="shared" si="0"/>
        <v>1.9</v>
      </c>
      <c r="L6" s="38">
        <f t="shared" si="0"/>
        <v>1.9</v>
      </c>
      <c r="M6" s="38">
        <f t="shared" si="0"/>
        <v>0</v>
      </c>
    </row>
    <row r="7" spans="1:13" ht="12.75">
      <c r="A7" s="22">
        <v>3</v>
      </c>
      <c r="B7" s="36" t="s">
        <v>267</v>
      </c>
      <c r="C7" s="18" t="s">
        <v>65</v>
      </c>
      <c r="D7" s="18" t="s">
        <v>112</v>
      </c>
      <c r="E7" s="34" t="s">
        <v>57</v>
      </c>
      <c r="F7" s="35">
        <v>1.1</v>
      </c>
      <c r="G7" s="12">
        <v>2006</v>
      </c>
      <c r="I7" s="38">
        <f t="shared" si="0"/>
        <v>1.1</v>
      </c>
      <c r="J7" s="38">
        <f t="shared" si="0"/>
        <v>1.1</v>
      </c>
      <c r="K7" s="38">
        <f t="shared" si="0"/>
        <v>1.1</v>
      </c>
      <c r="L7" s="38">
        <f t="shared" si="0"/>
        <v>1.1</v>
      </c>
      <c r="M7" s="38">
        <f t="shared" si="0"/>
        <v>0</v>
      </c>
    </row>
    <row r="8" spans="1:13" ht="12.75">
      <c r="A8" s="22">
        <v>4</v>
      </c>
      <c r="B8" s="36" t="s">
        <v>104</v>
      </c>
      <c r="C8" s="18" t="s">
        <v>151</v>
      </c>
      <c r="D8" s="18" t="s">
        <v>105</v>
      </c>
      <c r="E8" s="34" t="s">
        <v>57</v>
      </c>
      <c r="F8" s="35">
        <v>12</v>
      </c>
      <c r="G8" s="12">
        <v>2005</v>
      </c>
      <c r="I8" s="38">
        <f t="shared" si="0"/>
        <v>12</v>
      </c>
      <c r="J8" s="38">
        <f t="shared" si="0"/>
        <v>12</v>
      </c>
      <c r="K8" s="38">
        <f t="shared" si="0"/>
        <v>12</v>
      </c>
      <c r="L8" s="38">
        <f t="shared" si="0"/>
        <v>0</v>
      </c>
      <c r="M8" s="38">
        <f t="shared" si="0"/>
        <v>0</v>
      </c>
    </row>
    <row r="9" spans="1:13" ht="12.75">
      <c r="A9" s="22">
        <v>5</v>
      </c>
      <c r="B9" s="36" t="s">
        <v>67</v>
      </c>
      <c r="C9" s="18" t="s">
        <v>196</v>
      </c>
      <c r="D9" s="18" t="s">
        <v>61</v>
      </c>
      <c r="E9" s="34" t="s">
        <v>57</v>
      </c>
      <c r="F9" s="35">
        <v>8</v>
      </c>
      <c r="G9" s="12">
        <v>2005</v>
      </c>
      <c r="I9" s="38">
        <f t="shared" si="0"/>
        <v>8</v>
      </c>
      <c r="J9" s="38">
        <f t="shared" si="0"/>
        <v>8</v>
      </c>
      <c r="K9" s="38">
        <f t="shared" si="0"/>
        <v>8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36" t="s">
        <v>313</v>
      </c>
      <c r="C10" s="18" t="s">
        <v>173</v>
      </c>
      <c r="D10" s="18" t="s">
        <v>98</v>
      </c>
      <c r="E10" s="34" t="s">
        <v>57</v>
      </c>
      <c r="F10" s="35">
        <v>5</v>
      </c>
      <c r="G10" s="12">
        <v>2005</v>
      </c>
      <c r="I10" s="38">
        <f t="shared" si="0"/>
        <v>5</v>
      </c>
      <c r="J10" s="38">
        <f t="shared" si="0"/>
        <v>5</v>
      </c>
      <c r="K10" s="38">
        <f t="shared" si="0"/>
        <v>5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70</v>
      </c>
      <c r="C11" s="18" t="s">
        <v>157</v>
      </c>
      <c r="D11" s="18" t="s">
        <v>69</v>
      </c>
      <c r="E11" s="34" t="s">
        <v>57</v>
      </c>
      <c r="F11" s="35">
        <v>8.75</v>
      </c>
      <c r="G11" s="12">
        <v>2004</v>
      </c>
      <c r="I11" s="38">
        <f t="shared" si="0"/>
        <v>8.75</v>
      </c>
      <c r="J11" s="38">
        <f t="shared" si="0"/>
        <v>8.75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203</v>
      </c>
      <c r="C12" s="18" t="s">
        <v>157</v>
      </c>
      <c r="D12" s="18" t="s">
        <v>74</v>
      </c>
      <c r="E12" s="34" t="s">
        <v>57</v>
      </c>
      <c r="F12" s="35">
        <v>4</v>
      </c>
      <c r="G12" s="12">
        <v>2004</v>
      </c>
      <c r="I12" s="38">
        <f t="shared" si="0"/>
        <v>4</v>
      </c>
      <c r="J12" s="38">
        <f t="shared" si="0"/>
        <v>4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309</v>
      </c>
      <c r="C13" s="18" t="s">
        <v>148</v>
      </c>
      <c r="D13" s="18" t="s">
        <v>72</v>
      </c>
      <c r="E13" s="34" t="s">
        <v>57</v>
      </c>
      <c r="F13" s="35">
        <v>3.35</v>
      </c>
      <c r="G13" s="12">
        <v>2003</v>
      </c>
      <c r="I13" s="38">
        <f t="shared" si="0"/>
        <v>3.35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385</v>
      </c>
      <c r="C14" s="18" t="s">
        <v>148</v>
      </c>
      <c r="D14" s="18" t="s">
        <v>103</v>
      </c>
      <c r="E14" s="34" t="s">
        <v>57</v>
      </c>
      <c r="F14" s="35">
        <v>1.1</v>
      </c>
      <c r="G14" s="12">
        <v>2003</v>
      </c>
      <c r="I14" s="38">
        <f t="shared" si="0"/>
        <v>1.1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314</v>
      </c>
      <c r="C15" s="18" t="s">
        <v>195</v>
      </c>
      <c r="D15" s="18" t="s">
        <v>74</v>
      </c>
      <c r="E15" s="34" t="s">
        <v>216</v>
      </c>
      <c r="F15" s="35">
        <v>1.1</v>
      </c>
      <c r="G15" s="12">
        <v>2003</v>
      </c>
      <c r="I15" s="38">
        <f aca="true" t="shared" si="1" ref="I15:M18">+IF($G15&gt;=I$3,$F15,0)</f>
        <v>1.1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376</v>
      </c>
      <c r="C16" s="18" t="s">
        <v>173</v>
      </c>
      <c r="D16" s="18" t="s">
        <v>74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350</v>
      </c>
      <c r="C17" s="18" t="s">
        <v>196</v>
      </c>
      <c r="D17" s="18" t="s">
        <v>92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365</v>
      </c>
      <c r="C18" s="18" t="s">
        <v>148</v>
      </c>
      <c r="D18" s="18" t="s">
        <v>72</v>
      </c>
      <c r="E18" s="34" t="s">
        <v>57</v>
      </c>
      <c r="F18" s="35">
        <v>1.1</v>
      </c>
      <c r="G18" s="13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55.10000000000001</v>
      </c>
      <c r="J20" s="39">
        <f>+SUM(J5:J18)</f>
        <v>46.25</v>
      </c>
      <c r="K20" s="39">
        <f>+SUM(K5:K18)</f>
        <v>33.5</v>
      </c>
      <c r="L20" s="39">
        <f>+SUM(L5:L18)</f>
        <v>8.5</v>
      </c>
      <c r="M20" s="39">
        <f>+SUM(M5:M18)</f>
        <v>0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304</v>
      </c>
      <c r="C26" s="18" t="s">
        <v>196</v>
      </c>
      <c r="D26" s="18" t="s">
        <v>112</v>
      </c>
      <c r="E26" s="34">
        <v>2003</v>
      </c>
      <c r="F26" s="35">
        <v>1.3</v>
      </c>
      <c r="G26" s="12">
        <v>2003</v>
      </c>
      <c r="I26" s="37">
        <f>+CEILING(IF($I$24=E26,F26,IF($I$24&lt;=G26,F26*0.3,0)),0.05)</f>
        <v>1.3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 t="s">
        <v>349</v>
      </c>
      <c r="C27" s="18" t="s">
        <v>173</v>
      </c>
      <c r="D27" s="18" t="s">
        <v>121</v>
      </c>
      <c r="E27" s="34">
        <v>2003</v>
      </c>
      <c r="F27" s="35">
        <v>1.1</v>
      </c>
      <c r="G27" s="12">
        <v>2003</v>
      </c>
      <c r="I27" s="38">
        <f>+CEILING(IF($I$24=E27,F27,IF($I$24&lt;=G27,F27*0.3,0)),0.05)</f>
        <v>1.1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/>
      <c r="D28" s="18"/>
      <c r="E28" s="34"/>
      <c r="F28" s="35"/>
      <c r="G28" s="12"/>
      <c r="I28" s="38">
        <f>+CEILING(IF($I$24=E28,F28,IF($I$24&lt;=G28,F28*0.3,0)),0.05)</f>
        <v>0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/>
      <c r="D29" s="18"/>
      <c r="E29" s="34"/>
      <c r="F29" s="35"/>
      <c r="G29" s="12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D30" s="18"/>
      <c r="E30" s="18"/>
      <c r="F30" s="23"/>
      <c r="G30" s="24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2.4000000000000004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26"/>
      <c r="J37" s="26"/>
      <c r="K37" s="26"/>
      <c r="L37" s="26"/>
      <c r="M37" s="26"/>
    </row>
    <row r="38" spans="1:13" ht="12.75">
      <c r="A38" s="22">
        <v>1</v>
      </c>
      <c r="B38" s="125"/>
      <c r="C38" s="125"/>
      <c r="D38" s="125"/>
      <c r="E38" s="125"/>
      <c r="I38" s="58"/>
      <c r="J38" s="58"/>
      <c r="K38" s="58"/>
      <c r="L38" s="58"/>
      <c r="M38" s="58"/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57.50000000000001</v>
      </c>
      <c r="J43" s="33">
        <f>+J20+J32+J41</f>
        <v>46.25</v>
      </c>
      <c r="K43" s="33">
        <f>+K20+K32+K41</f>
        <v>33.5</v>
      </c>
      <c r="L43" s="33">
        <f>+L20+L32+L41</f>
        <v>8.5</v>
      </c>
      <c r="M43" s="33">
        <f>+M20+M32+M41</f>
        <v>0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100</v>
      </c>
      <c r="C5" s="18" t="s">
        <v>148</v>
      </c>
      <c r="D5" s="18" t="s">
        <v>77</v>
      </c>
      <c r="E5" s="34" t="s">
        <v>57</v>
      </c>
      <c r="F5" s="35">
        <v>12</v>
      </c>
      <c r="G5" s="12">
        <v>2006</v>
      </c>
      <c r="I5" s="37">
        <f aca="true" t="shared" si="0" ref="I5:M14">+IF($G5&gt;=I$3,$F5,0)</f>
        <v>12</v>
      </c>
      <c r="J5" s="37">
        <f t="shared" si="0"/>
        <v>12</v>
      </c>
      <c r="K5" s="37">
        <f t="shared" si="0"/>
        <v>12</v>
      </c>
      <c r="L5" s="37">
        <f t="shared" si="0"/>
        <v>12</v>
      </c>
      <c r="M5" s="37">
        <f t="shared" si="0"/>
        <v>0</v>
      </c>
    </row>
    <row r="6" spans="1:13" ht="12.75">
      <c r="A6" s="22">
        <v>2</v>
      </c>
      <c r="B6" s="36" t="s">
        <v>270</v>
      </c>
      <c r="C6" s="18" t="s">
        <v>157</v>
      </c>
      <c r="D6" s="18" t="s">
        <v>81</v>
      </c>
      <c r="E6" s="34" t="s">
        <v>57</v>
      </c>
      <c r="F6" s="35">
        <v>10.2</v>
      </c>
      <c r="G6" s="12">
        <v>2004</v>
      </c>
      <c r="I6" s="38">
        <f t="shared" si="0"/>
        <v>10.2</v>
      </c>
      <c r="J6" s="38">
        <f t="shared" si="0"/>
        <v>10.2</v>
      </c>
      <c r="K6" s="38">
        <f t="shared" si="0"/>
        <v>0</v>
      </c>
      <c r="L6" s="38">
        <f t="shared" si="0"/>
        <v>0</v>
      </c>
      <c r="M6" s="38">
        <f t="shared" si="0"/>
        <v>0</v>
      </c>
    </row>
    <row r="7" spans="1:13" ht="12.75">
      <c r="A7" s="22">
        <v>3</v>
      </c>
      <c r="B7" s="36" t="s">
        <v>120</v>
      </c>
      <c r="C7" s="18" t="s">
        <v>65</v>
      </c>
      <c r="D7" s="18" t="s">
        <v>121</v>
      </c>
      <c r="E7" s="34" t="s">
        <v>57</v>
      </c>
      <c r="F7" s="35">
        <v>6.75</v>
      </c>
      <c r="G7" s="12">
        <v>2004</v>
      </c>
      <c r="I7" s="38">
        <f t="shared" si="0"/>
        <v>6.75</v>
      </c>
      <c r="J7" s="38">
        <f t="shared" si="0"/>
        <v>6.75</v>
      </c>
      <c r="K7" s="38">
        <f t="shared" si="0"/>
        <v>0</v>
      </c>
      <c r="L7" s="38">
        <f t="shared" si="0"/>
        <v>0</v>
      </c>
      <c r="M7" s="38">
        <f t="shared" si="0"/>
        <v>0</v>
      </c>
    </row>
    <row r="8" spans="1:13" ht="12.75">
      <c r="A8" s="22">
        <v>4</v>
      </c>
      <c r="B8" s="36" t="s">
        <v>143</v>
      </c>
      <c r="C8" s="18" t="s">
        <v>196</v>
      </c>
      <c r="D8" s="18" t="s">
        <v>81</v>
      </c>
      <c r="E8" s="34" t="s">
        <v>57</v>
      </c>
      <c r="F8" s="35">
        <v>6.5</v>
      </c>
      <c r="G8" s="12">
        <v>2004</v>
      </c>
      <c r="I8" s="38">
        <f t="shared" si="0"/>
        <v>6.5</v>
      </c>
      <c r="J8" s="38">
        <f t="shared" si="0"/>
        <v>6.5</v>
      </c>
      <c r="K8" s="38">
        <f t="shared" si="0"/>
        <v>0</v>
      </c>
      <c r="L8" s="38">
        <f t="shared" si="0"/>
        <v>0</v>
      </c>
      <c r="M8" s="38">
        <f t="shared" si="0"/>
        <v>0</v>
      </c>
    </row>
    <row r="9" spans="1:13" ht="12.75">
      <c r="A9" s="22">
        <v>5</v>
      </c>
      <c r="B9" s="36" t="s">
        <v>178</v>
      </c>
      <c r="C9" s="18" t="s">
        <v>157</v>
      </c>
      <c r="D9" s="18" t="s">
        <v>66</v>
      </c>
      <c r="E9" s="34" t="s">
        <v>57</v>
      </c>
      <c r="F9" s="35">
        <v>1.25</v>
      </c>
      <c r="G9" s="12">
        <v>2004</v>
      </c>
      <c r="I9" s="38">
        <f t="shared" si="0"/>
        <v>1.25</v>
      </c>
      <c r="J9" s="38">
        <f t="shared" si="0"/>
        <v>1.25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36" t="s">
        <v>212</v>
      </c>
      <c r="C10" s="18" t="s">
        <v>151</v>
      </c>
      <c r="D10" s="18" t="s">
        <v>114</v>
      </c>
      <c r="E10" s="34" t="s">
        <v>57</v>
      </c>
      <c r="F10" s="35">
        <v>12</v>
      </c>
      <c r="G10" s="12">
        <v>2003</v>
      </c>
      <c r="I10" s="38">
        <f t="shared" si="0"/>
        <v>12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128</v>
      </c>
      <c r="C11" s="18" t="s">
        <v>76</v>
      </c>
      <c r="D11" s="18" t="s">
        <v>92</v>
      </c>
      <c r="E11" s="34" t="s">
        <v>216</v>
      </c>
      <c r="F11" s="35">
        <v>3</v>
      </c>
      <c r="G11" s="12">
        <v>2003</v>
      </c>
      <c r="I11" s="38">
        <f t="shared" si="0"/>
        <v>3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347</v>
      </c>
      <c r="C12" s="18" t="s">
        <v>148</v>
      </c>
      <c r="D12" s="18" t="s">
        <v>115</v>
      </c>
      <c r="E12" s="34" t="s">
        <v>57</v>
      </c>
      <c r="F12" s="35">
        <v>1.1</v>
      </c>
      <c r="G12" s="12">
        <v>2003</v>
      </c>
      <c r="I12" s="38">
        <f t="shared" si="0"/>
        <v>1.1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363</v>
      </c>
      <c r="C13" s="18" t="s">
        <v>55</v>
      </c>
      <c r="D13" s="18" t="s">
        <v>94</v>
      </c>
      <c r="E13" s="34" t="s">
        <v>57</v>
      </c>
      <c r="F13" s="35">
        <v>1.1</v>
      </c>
      <c r="G13" s="12">
        <v>2003</v>
      </c>
      <c r="I13" s="38">
        <f t="shared" si="0"/>
        <v>1.1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/>
      <c r="D14" s="18"/>
      <c r="E14" s="34"/>
      <c r="F14" s="35"/>
      <c r="G14" s="12"/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/>
      <c r="D15" s="18"/>
      <c r="E15" s="34"/>
      <c r="F15" s="35"/>
      <c r="G15" s="12"/>
      <c r="I15" s="38">
        <f aca="true" t="shared" si="1" ref="I15:M18">+IF($G15&gt;=I$3,$F15,0)</f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/>
      <c r="D16" s="18"/>
      <c r="E16" s="34"/>
      <c r="F16" s="35"/>
      <c r="G16" s="12"/>
      <c r="I16" s="38">
        <f t="shared" si="1"/>
        <v>0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/>
      <c r="D17" s="18"/>
      <c r="E17" s="34"/>
      <c r="F17" s="35"/>
      <c r="G17" s="12"/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/>
      <c r="D18" s="18"/>
      <c r="E18" s="34"/>
      <c r="F18" s="35"/>
      <c r="G18" s="12"/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53.900000000000006</v>
      </c>
      <c r="J20" s="39">
        <f>+SUM(J5:J18)</f>
        <v>36.7</v>
      </c>
      <c r="K20" s="39">
        <f>+SUM(K5:K18)</f>
        <v>12</v>
      </c>
      <c r="L20" s="39">
        <f>+SUM(L5:L18)</f>
        <v>12</v>
      </c>
      <c r="M20" s="39">
        <f>+SUM(M5:M18)</f>
        <v>0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329</v>
      </c>
      <c r="C26" s="18" t="s">
        <v>76</v>
      </c>
      <c r="D26" s="18" t="s">
        <v>63</v>
      </c>
      <c r="E26" s="34">
        <v>2003</v>
      </c>
      <c r="F26" s="35">
        <v>1.1</v>
      </c>
      <c r="G26" s="12">
        <v>2003</v>
      </c>
      <c r="I26" s="37">
        <f>+CEILING(IF($I$24=E26,F26,IF($I$24&lt;=G26,F26*0.3,0)),0.05)</f>
        <v>1.1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/>
      <c r="D27" s="18"/>
      <c r="E27" s="34"/>
      <c r="F27" s="35"/>
      <c r="G27" s="12"/>
      <c r="I27" s="38">
        <f>+CEILING(IF($I$24=E27,F27,IF($I$24&lt;=G27,F27*0.3,0)),0.05)</f>
        <v>0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/>
      <c r="D28" s="18"/>
      <c r="E28" s="34"/>
      <c r="F28" s="35"/>
      <c r="G28" s="12"/>
      <c r="I28" s="38">
        <f>+CEILING(IF($I$24=E28,F28,IF($I$24&lt;=G28,F28*0.3,0)),0.05)</f>
        <v>0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/>
      <c r="D29" s="18"/>
      <c r="E29" s="34"/>
      <c r="F29" s="35"/>
      <c r="G29" s="12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B30" s="36"/>
      <c r="D30" s="18"/>
      <c r="E30" s="34"/>
      <c r="F30" s="35"/>
      <c r="G30" s="12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1.1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26"/>
      <c r="J37" s="26"/>
      <c r="K37" s="26"/>
      <c r="L37" s="26"/>
      <c r="M37" s="26"/>
    </row>
    <row r="38" spans="1:13" ht="12.75">
      <c r="A38" s="22">
        <v>1</v>
      </c>
      <c r="B38" s="125"/>
      <c r="C38" s="125"/>
      <c r="D38" s="125"/>
      <c r="E38" s="125"/>
      <c r="I38" s="26"/>
      <c r="J38" s="26"/>
      <c r="K38" s="26"/>
      <c r="L38" s="26"/>
      <c r="M38" s="26"/>
    </row>
    <row r="39" spans="1:13" ht="12.75">
      <c r="A39" s="22">
        <v>2</v>
      </c>
      <c r="B39" s="125"/>
      <c r="C39" s="125"/>
      <c r="D39" s="125"/>
      <c r="E39" s="125"/>
      <c r="I39" s="26"/>
      <c r="J39" s="26"/>
      <c r="K39" s="26"/>
      <c r="L39" s="26"/>
      <c r="M39" s="26"/>
    </row>
    <row r="40" spans="1:13" ht="7.5" customHeight="1">
      <c r="A40" s="22"/>
      <c r="I40" s="26"/>
      <c r="J40" s="26"/>
      <c r="K40" s="26"/>
      <c r="L40" s="26"/>
      <c r="M40" s="26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55.00000000000001</v>
      </c>
      <c r="J43" s="33">
        <f>+J20+J32+J41</f>
        <v>36.7</v>
      </c>
      <c r="K43" s="33">
        <f>+K20+K32+K41</f>
        <v>12</v>
      </c>
      <c r="L43" s="33">
        <f>+L20+L32+L41</f>
        <v>12</v>
      </c>
      <c r="M43" s="33">
        <f>+M20+M32+M41</f>
        <v>0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13" ht="7.5" customHeight="1">
      <c r="B4" s="19"/>
      <c r="C4" s="21"/>
      <c r="E4" s="21"/>
      <c r="F4" s="21"/>
      <c r="I4" s="36"/>
      <c r="J4" s="36"/>
      <c r="K4" s="36"/>
      <c r="L4" s="36"/>
      <c r="M4" s="36"/>
    </row>
    <row r="5" spans="1:13" ht="12.75">
      <c r="A5" s="22">
        <v>1</v>
      </c>
      <c r="B5" s="65" t="s">
        <v>246</v>
      </c>
      <c r="C5" s="18" t="s">
        <v>148</v>
      </c>
      <c r="D5" s="18" t="s">
        <v>112</v>
      </c>
      <c r="E5" s="34" t="s">
        <v>57</v>
      </c>
      <c r="F5" s="35">
        <v>9.55</v>
      </c>
      <c r="G5" s="12">
        <v>2007</v>
      </c>
      <c r="I5" s="37">
        <f aca="true" t="shared" si="0" ref="I5:M14">+IF($G5&gt;=I$3,$F5,0)</f>
        <v>9.55</v>
      </c>
      <c r="J5" s="37">
        <f t="shared" si="0"/>
        <v>9.55</v>
      </c>
      <c r="K5" s="37">
        <f t="shared" si="0"/>
        <v>9.55</v>
      </c>
      <c r="L5" s="37">
        <f t="shared" si="0"/>
        <v>9.55</v>
      </c>
      <c r="M5" s="37">
        <f t="shared" si="0"/>
        <v>9.55</v>
      </c>
    </row>
    <row r="6" spans="1:13" ht="12.75">
      <c r="A6" s="22">
        <v>2</v>
      </c>
      <c r="B6" s="64" t="s">
        <v>238</v>
      </c>
      <c r="C6" s="18" t="s">
        <v>196</v>
      </c>
      <c r="D6" s="18" t="s">
        <v>114</v>
      </c>
      <c r="E6" s="34" t="s">
        <v>57</v>
      </c>
      <c r="F6" s="35">
        <v>4.4</v>
      </c>
      <c r="G6" s="12">
        <v>2007</v>
      </c>
      <c r="I6" s="38">
        <f t="shared" si="0"/>
        <v>4.4</v>
      </c>
      <c r="J6" s="38">
        <f t="shared" si="0"/>
        <v>4.4</v>
      </c>
      <c r="K6" s="38">
        <f t="shared" si="0"/>
        <v>4.4</v>
      </c>
      <c r="L6" s="38">
        <f t="shared" si="0"/>
        <v>4.4</v>
      </c>
      <c r="M6" s="38">
        <f t="shared" si="0"/>
        <v>4.4</v>
      </c>
    </row>
    <row r="7" spans="1:13" ht="12.75">
      <c r="A7" s="22">
        <v>3</v>
      </c>
      <c r="B7" s="65" t="s">
        <v>239</v>
      </c>
      <c r="C7" s="18" t="s">
        <v>157</v>
      </c>
      <c r="D7" s="18" t="s">
        <v>78</v>
      </c>
      <c r="E7" s="34" t="s">
        <v>57</v>
      </c>
      <c r="F7" s="35">
        <v>3.6</v>
      </c>
      <c r="G7" s="12">
        <v>2007</v>
      </c>
      <c r="I7" s="38">
        <f t="shared" si="0"/>
        <v>3.6</v>
      </c>
      <c r="J7" s="38">
        <f t="shared" si="0"/>
        <v>3.6</v>
      </c>
      <c r="K7" s="38">
        <f t="shared" si="0"/>
        <v>3.6</v>
      </c>
      <c r="L7" s="38">
        <f t="shared" si="0"/>
        <v>3.6</v>
      </c>
      <c r="M7" s="38">
        <f t="shared" si="0"/>
        <v>3.6</v>
      </c>
    </row>
    <row r="8" spans="1:13" ht="12.75">
      <c r="A8" s="22">
        <v>4</v>
      </c>
      <c r="B8" s="64" t="s">
        <v>135</v>
      </c>
      <c r="C8" s="18" t="s">
        <v>55</v>
      </c>
      <c r="D8" s="18" t="s">
        <v>136</v>
      </c>
      <c r="E8" s="34" t="s">
        <v>57</v>
      </c>
      <c r="F8" s="35">
        <v>1.1</v>
      </c>
      <c r="G8" s="12">
        <v>2007</v>
      </c>
      <c r="I8" s="38">
        <f t="shared" si="0"/>
        <v>1.1</v>
      </c>
      <c r="J8" s="38">
        <f t="shared" si="0"/>
        <v>1.1</v>
      </c>
      <c r="K8" s="38">
        <f t="shared" si="0"/>
        <v>1.1</v>
      </c>
      <c r="L8" s="38">
        <f t="shared" si="0"/>
        <v>1.1</v>
      </c>
      <c r="M8" s="38">
        <f t="shared" si="0"/>
        <v>1.1</v>
      </c>
    </row>
    <row r="9" spans="1:13" ht="12.75">
      <c r="A9" s="22">
        <v>5</v>
      </c>
      <c r="B9" s="36" t="s">
        <v>197</v>
      </c>
      <c r="C9" s="18" t="s">
        <v>55</v>
      </c>
      <c r="D9" s="18" t="s">
        <v>77</v>
      </c>
      <c r="E9" s="34" t="s">
        <v>57</v>
      </c>
      <c r="F9" s="35">
        <v>2</v>
      </c>
      <c r="G9" s="12">
        <v>2006</v>
      </c>
      <c r="I9" s="38">
        <f t="shared" si="0"/>
        <v>2</v>
      </c>
      <c r="J9" s="38">
        <f t="shared" si="0"/>
        <v>2</v>
      </c>
      <c r="K9" s="38">
        <f t="shared" si="0"/>
        <v>2</v>
      </c>
      <c r="L9" s="38">
        <f t="shared" si="0"/>
        <v>2</v>
      </c>
      <c r="M9" s="38">
        <f t="shared" si="0"/>
        <v>0</v>
      </c>
    </row>
    <row r="10" spans="1:13" ht="12.75">
      <c r="A10" s="22">
        <v>6</v>
      </c>
      <c r="B10" s="65" t="s">
        <v>200</v>
      </c>
      <c r="C10" s="18" t="s">
        <v>151</v>
      </c>
      <c r="D10" s="18" t="s">
        <v>86</v>
      </c>
      <c r="E10" s="34" t="s">
        <v>57</v>
      </c>
      <c r="F10" s="35">
        <v>1.25</v>
      </c>
      <c r="G10" s="12">
        <v>2006</v>
      </c>
      <c r="I10" s="38">
        <f t="shared" si="0"/>
        <v>1.25</v>
      </c>
      <c r="J10" s="38">
        <f t="shared" si="0"/>
        <v>1.25</v>
      </c>
      <c r="K10" s="38">
        <f t="shared" si="0"/>
        <v>1.25</v>
      </c>
      <c r="L10" s="38">
        <f t="shared" si="0"/>
        <v>1.25</v>
      </c>
      <c r="M10" s="38">
        <f t="shared" si="0"/>
        <v>0</v>
      </c>
    </row>
    <row r="11" spans="1:13" ht="12.75">
      <c r="A11" s="22">
        <v>7</v>
      </c>
      <c r="B11" s="65" t="s">
        <v>162</v>
      </c>
      <c r="C11" s="18" t="s">
        <v>195</v>
      </c>
      <c r="D11" s="18" t="s">
        <v>121</v>
      </c>
      <c r="E11" s="34" t="s">
        <v>57</v>
      </c>
      <c r="F11" s="35">
        <v>8.75</v>
      </c>
      <c r="G11" s="12">
        <v>2005</v>
      </c>
      <c r="I11" s="38">
        <f t="shared" si="0"/>
        <v>8.75</v>
      </c>
      <c r="J11" s="38">
        <f t="shared" si="0"/>
        <v>8.75</v>
      </c>
      <c r="K11" s="38">
        <f t="shared" si="0"/>
        <v>8.75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108</v>
      </c>
      <c r="C12" s="18" t="s">
        <v>173</v>
      </c>
      <c r="D12" s="18" t="s">
        <v>109</v>
      </c>
      <c r="E12" s="34" t="s">
        <v>57</v>
      </c>
      <c r="F12" s="35">
        <v>7.75</v>
      </c>
      <c r="G12" s="12">
        <v>2005</v>
      </c>
      <c r="I12" s="38">
        <f t="shared" si="0"/>
        <v>7.75</v>
      </c>
      <c r="J12" s="38">
        <f t="shared" si="0"/>
        <v>7.75</v>
      </c>
      <c r="K12" s="38">
        <f t="shared" si="0"/>
        <v>7.75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65" t="s">
        <v>161</v>
      </c>
      <c r="C13" s="18" t="s">
        <v>148</v>
      </c>
      <c r="D13" s="18" t="s">
        <v>136</v>
      </c>
      <c r="E13" s="34" t="s">
        <v>57</v>
      </c>
      <c r="F13" s="35">
        <v>4.25</v>
      </c>
      <c r="G13" s="12">
        <v>2005</v>
      </c>
      <c r="I13" s="38">
        <f t="shared" si="0"/>
        <v>4.25</v>
      </c>
      <c r="J13" s="38">
        <f t="shared" si="0"/>
        <v>4.25</v>
      </c>
      <c r="K13" s="38">
        <f t="shared" si="0"/>
        <v>4.25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65" t="s">
        <v>207</v>
      </c>
      <c r="C14" s="18" t="s">
        <v>157</v>
      </c>
      <c r="D14" s="18" t="s">
        <v>87</v>
      </c>
      <c r="E14" s="34" t="s">
        <v>57</v>
      </c>
      <c r="F14" s="35">
        <v>2</v>
      </c>
      <c r="G14" s="12">
        <v>2004</v>
      </c>
      <c r="I14" s="38">
        <f t="shared" si="0"/>
        <v>2</v>
      </c>
      <c r="J14" s="38">
        <f t="shared" si="0"/>
        <v>2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160</v>
      </c>
      <c r="C15" s="18" t="s">
        <v>148</v>
      </c>
      <c r="D15" s="18" t="s">
        <v>79</v>
      </c>
      <c r="E15" s="34" t="s">
        <v>57</v>
      </c>
      <c r="F15" s="35">
        <v>3.25</v>
      </c>
      <c r="G15" s="12">
        <v>2003</v>
      </c>
      <c r="I15" s="38">
        <f aca="true" t="shared" si="1" ref="I15:M18">+IF($G15&gt;=I$3,$F15,0)</f>
        <v>3.25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65" t="s">
        <v>375</v>
      </c>
      <c r="C16" s="18" t="s">
        <v>55</v>
      </c>
      <c r="D16" s="18" t="s">
        <v>56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65"/>
      <c r="D17" s="18"/>
      <c r="E17" s="34"/>
      <c r="F17" s="35"/>
      <c r="G17" s="12"/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/>
      <c r="D18" s="18"/>
      <c r="E18" s="34"/>
      <c r="F18" s="35"/>
      <c r="G18" s="12"/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2:13" ht="12.75">
      <c r="B20" s="36"/>
      <c r="D20" s="18"/>
      <c r="E20" s="34"/>
      <c r="F20" s="35"/>
      <c r="G20" s="12"/>
      <c r="I20" s="39">
        <f>+SUM(I5:I18)</f>
        <v>49.00000000000001</v>
      </c>
      <c r="J20" s="39">
        <f>+SUM(J5:J18)</f>
        <v>44.650000000000006</v>
      </c>
      <c r="K20" s="39">
        <f>+SUM(K5:K18)</f>
        <v>42.650000000000006</v>
      </c>
      <c r="L20" s="39">
        <f>+SUM(L5:L18)</f>
        <v>21.900000000000002</v>
      </c>
      <c r="M20" s="39">
        <f>+SUM(M5:M18)</f>
        <v>18.650000000000002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65" t="s">
        <v>208</v>
      </c>
      <c r="C26" s="18" t="s">
        <v>55</v>
      </c>
      <c r="D26" s="18" t="s">
        <v>92</v>
      </c>
      <c r="E26" s="34">
        <v>2003</v>
      </c>
      <c r="F26" s="35">
        <v>5.25</v>
      </c>
      <c r="G26" s="12">
        <v>2006</v>
      </c>
      <c r="I26" s="37">
        <f>+CEILING(IF($I$24=E26,F26,IF($I$24&lt;=G26,F26*0.3,0)),0.05)</f>
        <v>5.25</v>
      </c>
      <c r="J26" s="37">
        <f>+CEILING(IF($J$24&lt;=G26,F26*0.3,0),0.05)</f>
        <v>1.6</v>
      </c>
      <c r="K26" s="37">
        <f>+CEILING(IF($K$24&lt;=G26,F26*0.3,0),0.05)</f>
        <v>1.6</v>
      </c>
      <c r="L26" s="37">
        <f>+CEILING(IF($L$24&lt;=G26,F26*0.3,0),0.05)</f>
        <v>1.6</v>
      </c>
      <c r="M26" s="37">
        <f>CEILING(IF($M$24&lt;=G26,F26*0.3,0),0.05)</f>
        <v>0</v>
      </c>
    </row>
    <row r="27" spans="1:13" ht="12.75">
      <c r="A27" s="22">
        <v>2</v>
      </c>
      <c r="B27" s="36" t="s">
        <v>130</v>
      </c>
      <c r="C27" s="18" t="s">
        <v>65</v>
      </c>
      <c r="D27" s="18" t="s">
        <v>112</v>
      </c>
      <c r="E27" s="34">
        <v>2003</v>
      </c>
      <c r="F27" s="35">
        <v>2.75</v>
      </c>
      <c r="G27" s="12">
        <v>2006</v>
      </c>
      <c r="I27" s="38">
        <f>+CEILING(IF($I$24=E27,F27,IF($I$24&lt;=G27,F27*0.3,0)),0.05)</f>
        <v>2.75</v>
      </c>
      <c r="J27" s="38">
        <f>+CEILING(IF($J$24&lt;=G27,F27*0.3,0),0.05)</f>
        <v>0.8500000000000001</v>
      </c>
      <c r="K27" s="38">
        <f>+CEILING(IF($K$24&lt;=G27,F27*0.3,0),0.05)</f>
        <v>0.8500000000000001</v>
      </c>
      <c r="L27" s="38">
        <f>+CEILING(IF($L$24&lt;=G27,F27*0.3,0),0.05)</f>
        <v>0.8500000000000001</v>
      </c>
      <c r="M27" s="38">
        <f>CEILING(IF($M$24&lt;=G27,F27*0.3,0),0.05)</f>
        <v>0</v>
      </c>
    </row>
    <row r="28" spans="1:13" ht="12.75">
      <c r="A28" s="22">
        <v>3</v>
      </c>
      <c r="B28" s="65"/>
      <c r="D28" s="18"/>
      <c r="E28" s="34"/>
      <c r="F28" s="35"/>
      <c r="G28" s="12"/>
      <c r="I28" s="38">
        <f>+CEILING(IF($I$24=E28,F28,IF($I$24&lt;=G28,F28*0.3,0)),0.05)</f>
        <v>0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65"/>
      <c r="D29" s="18"/>
      <c r="E29" s="34"/>
      <c r="F29" s="35"/>
      <c r="G29" s="12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D30" s="18"/>
      <c r="E30" s="18"/>
      <c r="G30" s="18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8</v>
      </c>
      <c r="J32" s="39">
        <f>+SUM(J26:J31)</f>
        <v>2.45</v>
      </c>
      <c r="K32" s="39">
        <f>+SUM(K26:K31)</f>
        <v>2.45</v>
      </c>
      <c r="L32" s="39">
        <f>+SUM(L26:L31)</f>
        <v>2.45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58"/>
      <c r="J37" s="58"/>
      <c r="K37" s="58"/>
      <c r="L37" s="58"/>
      <c r="M37" s="58"/>
    </row>
    <row r="38" spans="1:13" ht="12.75">
      <c r="A38" s="22">
        <v>1</v>
      </c>
      <c r="B38" s="125"/>
      <c r="C38" s="125"/>
      <c r="D38" s="125"/>
      <c r="E38" s="125"/>
      <c r="I38" s="58"/>
      <c r="J38" s="58"/>
      <c r="K38" s="58"/>
      <c r="L38" s="58"/>
      <c r="M38" s="58"/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57.00000000000001</v>
      </c>
      <c r="J43" s="33">
        <f>+J20+J32+J41</f>
        <v>47.10000000000001</v>
      </c>
      <c r="K43" s="33">
        <f>+K20+K32+K41</f>
        <v>45.10000000000001</v>
      </c>
      <c r="L43" s="33">
        <f>+L20+L32+L41</f>
        <v>24.35</v>
      </c>
      <c r="M43" s="33">
        <f>+M20+M32+M41</f>
        <v>18.650000000000002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150</v>
      </c>
      <c r="C5" s="18" t="s">
        <v>151</v>
      </c>
      <c r="D5" s="18" t="s">
        <v>81</v>
      </c>
      <c r="E5" s="34" t="s">
        <v>57</v>
      </c>
      <c r="F5" s="35">
        <v>2.25</v>
      </c>
      <c r="G5" s="12">
        <v>2007</v>
      </c>
      <c r="I5" s="37">
        <f aca="true" t="shared" si="0" ref="I5:M14">+IF($G5&gt;=I$3,$F5,0)</f>
        <v>2.25</v>
      </c>
      <c r="J5" s="37">
        <f t="shared" si="0"/>
        <v>2.25</v>
      </c>
      <c r="K5" s="37">
        <f t="shared" si="0"/>
        <v>2.25</v>
      </c>
      <c r="L5" s="37">
        <f t="shared" si="0"/>
        <v>2.25</v>
      </c>
      <c r="M5" s="37">
        <f t="shared" si="0"/>
        <v>2.25</v>
      </c>
    </row>
    <row r="6" spans="1:13" ht="12.75">
      <c r="A6" s="22">
        <v>2</v>
      </c>
      <c r="B6" s="36" t="s">
        <v>265</v>
      </c>
      <c r="C6" s="18" t="s">
        <v>196</v>
      </c>
      <c r="D6" s="18" t="s">
        <v>69</v>
      </c>
      <c r="E6" s="34" t="s">
        <v>57</v>
      </c>
      <c r="F6" s="35">
        <v>1.4</v>
      </c>
      <c r="G6" s="12">
        <v>2007</v>
      </c>
      <c r="I6" s="38">
        <f t="shared" si="0"/>
        <v>1.4</v>
      </c>
      <c r="J6" s="38">
        <f t="shared" si="0"/>
        <v>1.4</v>
      </c>
      <c r="K6" s="38">
        <f t="shared" si="0"/>
        <v>1.4</v>
      </c>
      <c r="L6" s="38">
        <f t="shared" si="0"/>
        <v>1.4</v>
      </c>
      <c r="M6" s="38">
        <f t="shared" si="0"/>
        <v>1.4</v>
      </c>
    </row>
    <row r="7" spans="1:13" ht="12.75">
      <c r="A7" s="22">
        <v>3</v>
      </c>
      <c r="B7" s="36" t="s">
        <v>282</v>
      </c>
      <c r="C7" s="18" t="s">
        <v>195</v>
      </c>
      <c r="D7" s="18" t="s">
        <v>92</v>
      </c>
      <c r="E7" s="34" t="s">
        <v>57</v>
      </c>
      <c r="F7" s="35">
        <v>1.1</v>
      </c>
      <c r="G7" s="12">
        <v>2007</v>
      </c>
      <c r="I7" s="38">
        <f t="shared" si="0"/>
        <v>1.1</v>
      </c>
      <c r="J7" s="38">
        <f t="shared" si="0"/>
        <v>1.1</v>
      </c>
      <c r="K7" s="38">
        <f t="shared" si="0"/>
        <v>1.1</v>
      </c>
      <c r="L7" s="38">
        <f t="shared" si="0"/>
        <v>1.1</v>
      </c>
      <c r="M7" s="38">
        <f t="shared" si="0"/>
        <v>1.1</v>
      </c>
    </row>
    <row r="8" spans="1:13" ht="12.75">
      <c r="A8" s="22">
        <v>4</v>
      </c>
      <c r="B8" s="36" t="s">
        <v>102</v>
      </c>
      <c r="C8" s="18" t="s">
        <v>148</v>
      </c>
      <c r="D8" s="18" t="s">
        <v>103</v>
      </c>
      <c r="E8" s="34" t="s">
        <v>57</v>
      </c>
      <c r="F8" s="35">
        <v>16</v>
      </c>
      <c r="G8" s="12">
        <v>2006</v>
      </c>
      <c r="I8" s="38">
        <f t="shared" si="0"/>
        <v>16</v>
      </c>
      <c r="J8" s="38">
        <f t="shared" si="0"/>
        <v>16</v>
      </c>
      <c r="K8" s="38">
        <f t="shared" si="0"/>
        <v>16</v>
      </c>
      <c r="L8" s="38">
        <f t="shared" si="0"/>
        <v>16</v>
      </c>
      <c r="M8" s="38">
        <f t="shared" si="0"/>
        <v>0</v>
      </c>
    </row>
    <row r="9" spans="1:13" ht="12.75">
      <c r="A9" s="22">
        <v>5</v>
      </c>
      <c r="B9" s="36" t="s">
        <v>137</v>
      </c>
      <c r="C9" s="18" t="s">
        <v>151</v>
      </c>
      <c r="D9" s="18" t="s">
        <v>116</v>
      </c>
      <c r="E9" s="34" t="s">
        <v>57</v>
      </c>
      <c r="F9" s="35">
        <v>7.5</v>
      </c>
      <c r="G9" s="12">
        <v>2006</v>
      </c>
      <c r="I9" s="38">
        <f t="shared" si="0"/>
        <v>7.5</v>
      </c>
      <c r="J9" s="38">
        <f t="shared" si="0"/>
        <v>7.5</v>
      </c>
      <c r="K9" s="38">
        <f t="shared" si="0"/>
        <v>7.5</v>
      </c>
      <c r="L9" s="38">
        <f t="shared" si="0"/>
        <v>7.5</v>
      </c>
      <c r="M9" s="38">
        <f t="shared" si="0"/>
        <v>0</v>
      </c>
    </row>
    <row r="10" spans="1:13" ht="12.75">
      <c r="A10" s="22">
        <v>6</v>
      </c>
      <c r="B10" s="36" t="s">
        <v>170</v>
      </c>
      <c r="C10" s="18" t="s">
        <v>148</v>
      </c>
      <c r="D10" s="18" t="s">
        <v>69</v>
      </c>
      <c r="E10" s="34" t="s">
        <v>57</v>
      </c>
      <c r="F10" s="35">
        <v>3.75</v>
      </c>
      <c r="G10" s="12">
        <v>2006</v>
      </c>
      <c r="I10" s="38">
        <f t="shared" si="0"/>
        <v>3.75</v>
      </c>
      <c r="J10" s="38">
        <f t="shared" si="0"/>
        <v>3.75</v>
      </c>
      <c r="K10" s="38">
        <f t="shared" si="0"/>
        <v>3.75</v>
      </c>
      <c r="L10" s="38">
        <f t="shared" si="0"/>
        <v>3.75</v>
      </c>
      <c r="M10" s="38">
        <f t="shared" si="0"/>
        <v>0</v>
      </c>
    </row>
    <row r="11" spans="1:13" ht="12.75">
      <c r="A11" s="22">
        <v>7</v>
      </c>
      <c r="B11" s="36" t="s">
        <v>204</v>
      </c>
      <c r="C11" s="18" t="s">
        <v>173</v>
      </c>
      <c r="D11" s="18" t="s">
        <v>103</v>
      </c>
      <c r="E11" s="34" t="s">
        <v>57</v>
      </c>
      <c r="F11" s="35">
        <v>3</v>
      </c>
      <c r="G11" s="13">
        <v>2006</v>
      </c>
      <c r="I11" s="38">
        <f t="shared" si="0"/>
        <v>3</v>
      </c>
      <c r="J11" s="38">
        <f t="shared" si="0"/>
        <v>3</v>
      </c>
      <c r="K11" s="38">
        <f t="shared" si="0"/>
        <v>3</v>
      </c>
      <c r="L11" s="38">
        <f t="shared" si="0"/>
        <v>3</v>
      </c>
      <c r="M11" s="38">
        <f t="shared" si="0"/>
        <v>0</v>
      </c>
    </row>
    <row r="12" spans="1:13" ht="12.75">
      <c r="A12" s="22">
        <v>8</v>
      </c>
      <c r="B12" s="36" t="s">
        <v>205</v>
      </c>
      <c r="C12" s="18" t="s">
        <v>173</v>
      </c>
      <c r="D12" s="18" t="s">
        <v>69</v>
      </c>
      <c r="E12" s="34" t="s">
        <v>57</v>
      </c>
      <c r="F12" s="35">
        <v>1</v>
      </c>
      <c r="G12" s="12">
        <v>2006</v>
      </c>
      <c r="I12" s="38">
        <f t="shared" si="0"/>
        <v>1</v>
      </c>
      <c r="J12" s="38">
        <f t="shared" si="0"/>
        <v>1</v>
      </c>
      <c r="K12" s="38">
        <f t="shared" si="0"/>
        <v>1</v>
      </c>
      <c r="L12" s="38">
        <f t="shared" si="0"/>
        <v>1</v>
      </c>
      <c r="M12" s="38">
        <f t="shared" si="0"/>
        <v>0</v>
      </c>
    </row>
    <row r="13" spans="1:13" ht="12.75">
      <c r="A13" s="22">
        <v>9</v>
      </c>
      <c r="B13" s="36" t="s">
        <v>54</v>
      </c>
      <c r="C13" s="18" t="s">
        <v>55</v>
      </c>
      <c r="D13" s="18" t="s">
        <v>61</v>
      </c>
      <c r="E13" s="34" t="s">
        <v>57</v>
      </c>
      <c r="F13" s="35">
        <v>10</v>
      </c>
      <c r="G13" s="12">
        <v>2004</v>
      </c>
      <c r="I13" s="38">
        <f t="shared" si="0"/>
        <v>10</v>
      </c>
      <c r="J13" s="38">
        <f t="shared" si="0"/>
        <v>10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230</v>
      </c>
      <c r="C14" s="18" t="s">
        <v>157</v>
      </c>
      <c r="D14" s="18" t="s">
        <v>78</v>
      </c>
      <c r="E14" s="34" t="s">
        <v>57</v>
      </c>
      <c r="F14" s="35">
        <v>4.2</v>
      </c>
      <c r="G14" s="12">
        <v>2004</v>
      </c>
      <c r="I14" s="38">
        <f t="shared" si="0"/>
        <v>4.2</v>
      </c>
      <c r="J14" s="38">
        <f t="shared" si="0"/>
        <v>4.2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311</v>
      </c>
      <c r="C15" s="18" t="s">
        <v>76</v>
      </c>
      <c r="D15" s="18" t="s">
        <v>74</v>
      </c>
      <c r="E15" s="34" t="s">
        <v>57</v>
      </c>
      <c r="F15" s="35">
        <v>4.55</v>
      </c>
      <c r="G15" s="12">
        <v>2003</v>
      </c>
      <c r="I15" s="38">
        <f aca="true" t="shared" si="1" ref="I15:M18">+IF($G15&gt;=I$3,$F15,0)</f>
        <v>4.55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206</v>
      </c>
      <c r="C16" s="18" t="s">
        <v>151</v>
      </c>
      <c r="D16" s="18" t="s">
        <v>116</v>
      </c>
      <c r="E16" s="34" t="s">
        <v>57</v>
      </c>
      <c r="F16" s="35">
        <v>1.25</v>
      </c>
      <c r="G16" s="12">
        <v>2003</v>
      </c>
      <c r="I16" s="38">
        <f t="shared" si="1"/>
        <v>1.25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331</v>
      </c>
      <c r="C17" s="18" t="s">
        <v>157</v>
      </c>
      <c r="D17" s="18" t="s">
        <v>136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384</v>
      </c>
      <c r="C18" s="18" t="s">
        <v>76</v>
      </c>
      <c r="D18" s="18" t="s">
        <v>79</v>
      </c>
      <c r="E18" s="34" t="s">
        <v>57</v>
      </c>
      <c r="F18" s="35">
        <v>1.1</v>
      </c>
      <c r="G18" s="12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58.2</v>
      </c>
      <c r="J20" s="39">
        <f>+SUM(J5:J18)</f>
        <v>50.2</v>
      </c>
      <c r="K20" s="39">
        <f>+SUM(K5:K18)</f>
        <v>36</v>
      </c>
      <c r="L20" s="39">
        <f>+SUM(L5:L18)</f>
        <v>36</v>
      </c>
      <c r="M20" s="39">
        <f>+SUM(M5:M18)</f>
        <v>4.75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138</v>
      </c>
      <c r="C26" s="18" t="s">
        <v>148</v>
      </c>
      <c r="D26" s="18" t="s">
        <v>56</v>
      </c>
      <c r="E26" s="34">
        <v>2002</v>
      </c>
      <c r="F26" s="35">
        <v>6.75</v>
      </c>
      <c r="G26" s="12">
        <v>2003</v>
      </c>
      <c r="I26" s="37">
        <f>+CEILING(IF($I$24=E26,F26,IF($I$24&lt;=G26,F26*0.3,0)),0.05)</f>
        <v>2.0500000000000003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 t="s">
        <v>281</v>
      </c>
      <c r="C27" s="18" t="s">
        <v>196</v>
      </c>
      <c r="D27" s="18" t="s">
        <v>136</v>
      </c>
      <c r="E27" s="34">
        <v>2003</v>
      </c>
      <c r="F27" s="35">
        <v>1.9</v>
      </c>
      <c r="G27" s="12">
        <v>2003</v>
      </c>
      <c r="I27" s="38">
        <f>+CEILING(IF($I$24=E27,F27,IF($I$24&lt;=G27,F27*0.3,0)),0.05)</f>
        <v>1.9000000000000001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 t="s">
        <v>176</v>
      </c>
      <c r="C28" s="18" t="s">
        <v>196</v>
      </c>
      <c r="D28" s="18" t="s">
        <v>72</v>
      </c>
      <c r="E28" s="34">
        <v>2002</v>
      </c>
      <c r="F28" s="35">
        <v>1.25</v>
      </c>
      <c r="G28" s="12">
        <v>2003</v>
      </c>
      <c r="I28" s="38">
        <f>+CEILING(IF($I$24=E28,F28,IF($I$24&lt;=G28,F28*0.3,0)),0.05)</f>
        <v>0.4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 t="s">
        <v>317</v>
      </c>
      <c r="C29" s="18" t="s">
        <v>76</v>
      </c>
      <c r="D29" s="18" t="s">
        <v>74</v>
      </c>
      <c r="E29" s="34">
        <v>2003</v>
      </c>
      <c r="F29" s="35">
        <v>1.1</v>
      </c>
      <c r="G29" s="12">
        <v>2003</v>
      </c>
      <c r="I29" s="38">
        <f>+CEILING(IF($I$24=E29,F29,IF($I$24&lt;=G29,F29*0.3,0)),0.05)</f>
        <v>1.1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B30" s="36" t="s">
        <v>382</v>
      </c>
      <c r="C30" s="18" t="s">
        <v>76</v>
      </c>
      <c r="D30" s="18" t="s">
        <v>79</v>
      </c>
      <c r="E30" s="34">
        <v>2003</v>
      </c>
      <c r="F30" s="35">
        <v>1.1</v>
      </c>
      <c r="G30" s="12">
        <v>2003</v>
      </c>
      <c r="I30" s="38">
        <f>+CEILING(IF($I$24=E30,F30,IF($I$24&lt;=G30,F30*0.3,0)),0.05)</f>
        <v>1.1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6.550000000000001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26"/>
      <c r="J37" s="26"/>
      <c r="K37" s="26"/>
      <c r="L37" s="26"/>
      <c r="M37" s="26"/>
    </row>
    <row r="38" spans="1:13" ht="12.75">
      <c r="A38" s="22">
        <v>1</v>
      </c>
      <c r="B38" s="125"/>
      <c r="C38" s="125"/>
      <c r="D38" s="125"/>
      <c r="E38" s="125"/>
      <c r="F38" s="40"/>
      <c r="G38" s="18"/>
      <c r="I38" s="58"/>
      <c r="J38" s="58"/>
      <c r="K38" s="58"/>
      <c r="L38" s="58"/>
      <c r="M38" s="58"/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64.75</v>
      </c>
      <c r="J43" s="33">
        <f>+J20+J32+J41</f>
        <v>50.2</v>
      </c>
      <c r="K43" s="33">
        <f>+K20+K32+K41</f>
        <v>36</v>
      </c>
      <c r="L43" s="33">
        <f>+L20+L32+L41</f>
        <v>36</v>
      </c>
      <c r="M43" s="33">
        <f>+M20+M32+M41</f>
        <v>4.75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.7109375" style="0" customWidth="1"/>
    <col min="3" max="3" width="6.7109375" style="0" customWidth="1"/>
    <col min="4" max="4" width="7.7109375" style="0" customWidth="1"/>
    <col min="5" max="5" width="6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.7109375" style="0" customWidth="1"/>
    <col min="10" max="10" width="6.7109375" style="0" customWidth="1"/>
    <col min="11" max="11" width="7.7109375" style="0" customWidth="1"/>
    <col min="12" max="12" width="1.7109375" style="0" customWidth="1"/>
    <col min="13" max="13" width="6.7109375" style="0" customWidth="1"/>
    <col min="14" max="14" width="7.7109375" style="0" customWidth="1"/>
    <col min="15" max="15" width="1.7109375" style="0" customWidth="1"/>
    <col min="16" max="16" width="6.7109375" style="0" customWidth="1"/>
    <col min="17" max="17" width="7.7109375" style="0" customWidth="1"/>
    <col min="18" max="18" width="1.7109375" style="0" customWidth="1"/>
    <col min="19" max="19" width="6.7109375" style="0" customWidth="1"/>
    <col min="20" max="20" width="7.7109375" style="0" customWidth="1"/>
  </cols>
  <sheetData>
    <row r="1" spans="1:20" ht="18.75">
      <c r="A1" s="59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" t="s">
        <v>218</v>
      </c>
    </row>
    <row r="2" ht="7.5" customHeight="1"/>
    <row r="3" spans="3:20" s="2" customFormat="1" ht="15" customHeight="1">
      <c r="C3" s="118" t="s">
        <v>43</v>
      </c>
      <c r="D3" s="118"/>
      <c r="E3" s="118"/>
      <c r="F3" s="118"/>
      <c r="G3" s="118"/>
      <c r="H3" s="118"/>
      <c r="I3" s="3"/>
      <c r="J3" s="118" t="s">
        <v>44</v>
      </c>
      <c r="K3" s="118"/>
      <c r="L3" s="3"/>
      <c r="M3" s="118" t="s">
        <v>45</v>
      </c>
      <c r="N3" s="118"/>
      <c r="O3" s="3"/>
      <c r="P3" s="118" t="s">
        <v>46</v>
      </c>
      <c r="Q3" s="118"/>
      <c r="R3" s="3"/>
      <c r="S3" s="118" t="s">
        <v>47</v>
      </c>
      <c r="T3" s="118"/>
    </row>
    <row r="4" spans="1:20" s="2" customFormat="1" ht="7.5" customHeight="1">
      <c r="A4" s="4"/>
      <c r="B4" s="4"/>
      <c r="C4" s="5"/>
      <c r="D4" s="5"/>
      <c r="E4" s="5"/>
      <c r="F4" s="5"/>
      <c r="G4" s="5"/>
      <c r="H4" s="5"/>
      <c r="I4" s="3"/>
      <c r="J4" s="6"/>
      <c r="K4" s="6"/>
      <c r="L4" s="3"/>
      <c r="M4" s="5"/>
      <c r="N4" s="5"/>
      <c r="O4" s="3"/>
      <c r="P4" s="6"/>
      <c r="Q4" s="6"/>
      <c r="R4" s="3"/>
      <c r="S4" s="5"/>
      <c r="T4" s="5"/>
    </row>
    <row r="5" spans="1:20" s="46" customFormat="1" ht="15">
      <c r="A5" s="52" t="s">
        <v>5</v>
      </c>
      <c r="C5" s="51" t="s">
        <v>2</v>
      </c>
      <c r="D5" s="51" t="s">
        <v>28</v>
      </c>
      <c r="E5" s="51" t="s">
        <v>42</v>
      </c>
      <c r="F5" s="51" t="s">
        <v>29</v>
      </c>
      <c r="G5" s="51" t="s">
        <v>18</v>
      </c>
      <c r="H5" s="51" t="s">
        <v>30</v>
      </c>
      <c r="I5" s="7"/>
      <c r="J5" s="51" t="s">
        <v>2</v>
      </c>
      <c r="K5" s="51" t="s">
        <v>3</v>
      </c>
      <c r="L5" s="7"/>
      <c r="M5" s="51" t="s">
        <v>2</v>
      </c>
      <c r="N5" s="51" t="s">
        <v>3</v>
      </c>
      <c r="O5" s="7"/>
      <c r="P5" s="51" t="s">
        <v>2</v>
      </c>
      <c r="Q5" s="51" t="s">
        <v>3</v>
      </c>
      <c r="R5" s="7"/>
      <c r="S5" s="51" t="s">
        <v>2</v>
      </c>
      <c r="T5" s="51" t="s">
        <v>3</v>
      </c>
    </row>
    <row r="6" s="2" customFormat="1" ht="7.5" customHeight="1"/>
    <row r="7" spans="1:20" s="46" customFormat="1" ht="15" customHeight="1">
      <c r="A7" s="9" t="s">
        <v>12</v>
      </c>
      <c r="C7" s="47">
        <v>14</v>
      </c>
      <c r="D7" s="48">
        <v>89.75</v>
      </c>
      <c r="E7" s="48">
        <v>0</v>
      </c>
      <c r="F7" s="48">
        <v>89.75</v>
      </c>
      <c r="G7" s="44">
        <v>144</v>
      </c>
      <c r="H7" s="53">
        <v>233.75</v>
      </c>
      <c r="I7" s="49"/>
      <c r="J7" s="47">
        <v>5</v>
      </c>
      <c r="K7" s="48">
        <v>44.5</v>
      </c>
      <c r="L7" s="49"/>
      <c r="M7" s="47">
        <v>5</v>
      </c>
      <c r="N7" s="48">
        <v>44.5</v>
      </c>
      <c r="O7" s="49"/>
      <c r="P7" s="47">
        <v>3</v>
      </c>
      <c r="Q7" s="48">
        <v>31</v>
      </c>
      <c r="R7" s="49"/>
      <c r="S7" s="47">
        <v>2</v>
      </c>
      <c r="T7" s="48">
        <v>17</v>
      </c>
    </row>
    <row r="8" spans="1:20" s="46" customFormat="1" ht="15" customHeight="1">
      <c r="A8" s="9" t="s">
        <v>52</v>
      </c>
      <c r="C8" s="47">
        <v>14</v>
      </c>
      <c r="D8" s="48">
        <v>76.75</v>
      </c>
      <c r="E8" s="48">
        <v>0</v>
      </c>
      <c r="F8" s="48">
        <v>76.75</v>
      </c>
      <c r="G8" s="48">
        <v>92</v>
      </c>
      <c r="H8" s="53">
        <v>168.75</v>
      </c>
      <c r="I8" s="49"/>
      <c r="J8" s="47">
        <v>8</v>
      </c>
      <c r="K8" s="48">
        <v>50.45</v>
      </c>
      <c r="L8" s="49"/>
      <c r="M8" s="47">
        <v>7</v>
      </c>
      <c r="N8" s="48">
        <v>49.45</v>
      </c>
      <c r="O8" s="49"/>
      <c r="P8" s="47">
        <v>4</v>
      </c>
      <c r="Q8" s="48">
        <v>42.95</v>
      </c>
      <c r="R8" s="49"/>
      <c r="S8" s="47">
        <v>3</v>
      </c>
      <c r="T8" s="48">
        <v>31.5</v>
      </c>
    </row>
    <row r="9" spans="1:20" s="46" customFormat="1" ht="15" customHeight="1">
      <c r="A9" s="9" t="s">
        <v>49</v>
      </c>
      <c r="C9" s="47">
        <v>14</v>
      </c>
      <c r="D9" s="48">
        <v>72.35</v>
      </c>
      <c r="E9" s="48">
        <v>0</v>
      </c>
      <c r="F9" s="48">
        <v>72.35</v>
      </c>
      <c r="G9" s="48">
        <v>74.4</v>
      </c>
      <c r="H9" s="53">
        <v>146.75</v>
      </c>
      <c r="I9" s="49"/>
      <c r="J9" s="47">
        <v>10</v>
      </c>
      <c r="K9" s="48">
        <v>59.85</v>
      </c>
      <c r="L9" s="49"/>
      <c r="M9" s="47">
        <v>10</v>
      </c>
      <c r="N9" s="48">
        <v>59.85</v>
      </c>
      <c r="O9" s="49"/>
      <c r="P9" s="47">
        <v>4</v>
      </c>
      <c r="Q9" s="48">
        <v>28.25</v>
      </c>
      <c r="R9" s="49"/>
      <c r="S9" s="47">
        <v>3</v>
      </c>
      <c r="T9" s="48">
        <v>21.8</v>
      </c>
    </row>
    <row r="10" spans="1:20" s="46" customFormat="1" ht="15" customHeight="1">
      <c r="A10" s="9" t="s">
        <v>13</v>
      </c>
      <c r="B10" s="63"/>
      <c r="C10" s="47">
        <v>14</v>
      </c>
      <c r="D10" s="48">
        <v>71.2</v>
      </c>
      <c r="E10" s="48">
        <v>0</v>
      </c>
      <c r="F10" s="48">
        <v>71.2</v>
      </c>
      <c r="G10" s="48">
        <v>69.8</v>
      </c>
      <c r="H10" s="53">
        <v>141</v>
      </c>
      <c r="I10" s="49"/>
      <c r="J10" s="47">
        <v>0</v>
      </c>
      <c r="K10" s="48">
        <v>0</v>
      </c>
      <c r="L10" s="49"/>
      <c r="M10" s="47">
        <v>0</v>
      </c>
      <c r="N10" s="48">
        <v>0</v>
      </c>
      <c r="O10" s="49"/>
      <c r="P10" s="47">
        <v>0</v>
      </c>
      <c r="Q10" s="48">
        <v>0</v>
      </c>
      <c r="R10" s="49"/>
      <c r="S10" s="47">
        <v>0</v>
      </c>
      <c r="T10" s="48">
        <v>0</v>
      </c>
    </row>
    <row r="11" spans="1:20" s="46" customFormat="1" ht="15" customHeight="1">
      <c r="A11" s="9" t="s">
        <v>21</v>
      </c>
      <c r="B11" s="63"/>
      <c r="C11" s="47">
        <v>14</v>
      </c>
      <c r="D11" s="48">
        <v>65.3</v>
      </c>
      <c r="E11" s="48">
        <v>0</v>
      </c>
      <c r="F11" s="48">
        <v>65.3</v>
      </c>
      <c r="G11" s="48">
        <v>46.2</v>
      </c>
      <c r="H11" s="53">
        <v>111.5</v>
      </c>
      <c r="I11" s="49"/>
      <c r="J11" s="47">
        <v>11</v>
      </c>
      <c r="K11" s="48">
        <v>60.55</v>
      </c>
      <c r="L11" s="49"/>
      <c r="M11" s="47">
        <v>9</v>
      </c>
      <c r="N11" s="48">
        <v>48.3</v>
      </c>
      <c r="O11" s="49"/>
      <c r="P11" s="47">
        <v>6</v>
      </c>
      <c r="Q11" s="48">
        <v>40.8</v>
      </c>
      <c r="R11" s="49"/>
      <c r="S11" s="47">
        <v>6</v>
      </c>
      <c r="T11" s="48">
        <v>40.8</v>
      </c>
    </row>
    <row r="12" spans="1:20" s="46" customFormat="1" ht="15" customHeight="1">
      <c r="A12" s="9" t="s">
        <v>51</v>
      </c>
      <c r="C12" s="47">
        <v>14</v>
      </c>
      <c r="D12" s="48">
        <v>66.5</v>
      </c>
      <c r="E12" s="48">
        <v>1.25</v>
      </c>
      <c r="F12" s="48">
        <v>65.25</v>
      </c>
      <c r="G12" s="48">
        <v>46</v>
      </c>
      <c r="H12" s="53">
        <v>111.25</v>
      </c>
      <c r="I12" s="49"/>
      <c r="J12" s="47">
        <v>8</v>
      </c>
      <c r="K12" s="48">
        <v>47.25</v>
      </c>
      <c r="L12" s="49"/>
      <c r="M12" s="47">
        <v>6</v>
      </c>
      <c r="N12" s="48">
        <v>42.5</v>
      </c>
      <c r="O12" s="49"/>
      <c r="P12" s="47">
        <v>2</v>
      </c>
      <c r="Q12" s="48">
        <v>16.25</v>
      </c>
      <c r="R12" s="49"/>
      <c r="S12" s="47">
        <v>1</v>
      </c>
      <c r="T12" s="48">
        <v>4.75</v>
      </c>
    </row>
    <row r="13" spans="1:20" s="46" customFormat="1" ht="15" customHeight="1">
      <c r="A13" s="9" t="s">
        <v>10</v>
      </c>
      <c r="C13" s="47">
        <v>14</v>
      </c>
      <c r="D13" s="48">
        <v>63.4</v>
      </c>
      <c r="E13" s="48">
        <v>0</v>
      </c>
      <c r="F13" s="48">
        <v>63.4</v>
      </c>
      <c r="G13" s="48">
        <v>38.6</v>
      </c>
      <c r="H13" s="53">
        <v>102</v>
      </c>
      <c r="I13" s="49"/>
      <c r="J13" s="47">
        <v>9</v>
      </c>
      <c r="K13" s="48">
        <v>46.85</v>
      </c>
      <c r="L13" s="49"/>
      <c r="M13" s="47">
        <v>7</v>
      </c>
      <c r="N13" s="48">
        <v>39.85</v>
      </c>
      <c r="O13" s="49"/>
      <c r="P13" s="47">
        <v>6</v>
      </c>
      <c r="Q13" s="48">
        <v>34.1</v>
      </c>
      <c r="R13" s="49"/>
      <c r="S13" s="47">
        <v>6</v>
      </c>
      <c r="T13" s="48">
        <v>34.1</v>
      </c>
    </row>
    <row r="14" spans="1:20" s="46" customFormat="1" ht="15" customHeight="1">
      <c r="A14" s="9" t="s">
        <v>15</v>
      </c>
      <c r="C14" s="47">
        <v>14</v>
      </c>
      <c r="D14" s="48">
        <v>62.65</v>
      </c>
      <c r="E14" s="48">
        <v>0</v>
      </c>
      <c r="F14" s="48">
        <v>62.65</v>
      </c>
      <c r="G14" s="48">
        <v>35.6</v>
      </c>
      <c r="H14" s="53">
        <v>98.25</v>
      </c>
      <c r="I14" s="49"/>
      <c r="J14" s="47">
        <v>6</v>
      </c>
      <c r="K14" s="48">
        <v>38.9</v>
      </c>
      <c r="L14" s="49"/>
      <c r="M14" s="47">
        <v>6</v>
      </c>
      <c r="N14" s="48">
        <v>38.9</v>
      </c>
      <c r="O14" s="49"/>
      <c r="P14" s="47">
        <v>4</v>
      </c>
      <c r="Q14" s="48">
        <v>26.9</v>
      </c>
      <c r="R14" s="49"/>
      <c r="S14" s="47">
        <v>1</v>
      </c>
      <c r="T14" s="48">
        <v>1.9</v>
      </c>
    </row>
    <row r="15" spans="1:20" s="46" customFormat="1" ht="15" customHeight="1">
      <c r="A15" s="9" t="s">
        <v>9</v>
      </c>
      <c r="C15" s="47">
        <v>14</v>
      </c>
      <c r="D15" s="48">
        <v>60.75</v>
      </c>
      <c r="E15" s="48">
        <v>0</v>
      </c>
      <c r="F15" s="48">
        <v>60.75</v>
      </c>
      <c r="G15" s="48">
        <v>28</v>
      </c>
      <c r="H15" s="53">
        <v>88.75</v>
      </c>
      <c r="I15" s="49"/>
      <c r="J15" s="47">
        <v>6</v>
      </c>
      <c r="K15" s="48">
        <v>42</v>
      </c>
      <c r="L15" s="49"/>
      <c r="M15" s="47">
        <v>6</v>
      </c>
      <c r="N15" s="48">
        <v>42</v>
      </c>
      <c r="O15" s="49"/>
      <c r="P15" s="47">
        <v>5</v>
      </c>
      <c r="Q15" s="48">
        <v>33.25</v>
      </c>
      <c r="R15" s="49"/>
      <c r="S15" s="47">
        <v>4</v>
      </c>
      <c r="T15" s="48">
        <v>27</v>
      </c>
    </row>
    <row r="16" spans="1:20" s="46" customFormat="1" ht="15" customHeight="1">
      <c r="A16" s="9" t="s">
        <v>8</v>
      </c>
      <c r="C16" s="47">
        <v>14</v>
      </c>
      <c r="D16" s="48">
        <v>60</v>
      </c>
      <c r="E16" s="48">
        <v>0</v>
      </c>
      <c r="F16" s="48">
        <v>60</v>
      </c>
      <c r="G16" s="48">
        <v>25</v>
      </c>
      <c r="H16" s="53">
        <v>85</v>
      </c>
      <c r="I16" s="50"/>
      <c r="J16" s="47">
        <v>8</v>
      </c>
      <c r="K16" s="48">
        <v>32.85</v>
      </c>
      <c r="L16" s="49"/>
      <c r="M16" s="47">
        <v>3</v>
      </c>
      <c r="N16" s="48">
        <v>8.6</v>
      </c>
      <c r="O16" s="49"/>
      <c r="P16" s="47">
        <v>2</v>
      </c>
      <c r="Q16" s="48">
        <v>7.6</v>
      </c>
      <c r="R16" s="49"/>
      <c r="S16" s="47">
        <v>2</v>
      </c>
      <c r="T16" s="48">
        <v>7.6</v>
      </c>
    </row>
    <row r="17" spans="1:20" s="46" customFormat="1" ht="15" customHeight="1">
      <c r="A17" s="9" t="s">
        <v>17</v>
      </c>
      <c r="C17" s="47">
        <v>14</v>
      </c>
      <c r="D17" s="48">
        <v>57.25</v>
      </c>
      <c r="E17" s="48">
        <v>0</v>
      </c>
      <c r="F17" s="48">
        <v>57.25</v>
      </c>
      <c r="G17" s="48">
        <v>14</v>
      </c>
      <c r="H17" s="53">
        <v>71.25</v>
      </c>
      <c r="I17" s="49"/>
      <c r="J17" s="47">
        <v>9</v>
      </c>
      <c r="K17" s="48">
        <v>50.5</v>
      </c>
      <c r="L17" s="49"/>
      <c r="M17" s="47">
        <v>6</v>
      </c>
      <c r="N17" s="48">
        <v>41.25</v>
      </c>
      <c r="O17" s="49"/>
      <c r="P17" s="47">
        <v>5</v>
      </c>
      <c r="Q17" s="48">
        <v>31.25</v>
      </c>
      <c r="R17" s="49"/>
      <c r="S17" s="47">
        <v>5</v>
      </c>
      <c r="T17" s="48">
        <v>31.25</v>
      </c>
    </row>
    <row r="18" spans="1:20" s="46" customFormat="1" ht="15" customHeight="1">
      <c r="A18" s="9" t="s">
        <v>50</v>
      </c>
      <c r="C18" s="47">
        <v>12</v>
      </c>
      <c r="D18" s="48">
        <v>56.25</v>
      </c>
      <c r="E18" s="48">
        <v>0</v>
      </c>
      <c r="F18" s="48">
        <v>56.25</v>
      </c>
      <c r="G18" s="48">
        <v>10</v>
      </c>
      <c r="H18" s="53">
        <v>66.25</v>
      </c>
      <c r="I18" s="49"/>
      <c r="J18" s="47">
        <v>3</v>
      </c>
      <c r="K18" s="48">
        <v>21.5</v>
      </c>
      <c r="L18" s="49"/>
      <c r="M18" s="47">
        <v>1</v>
      </c>
      <c r="N18" s="48">
        <v>6.5</v>
      </c>
      <c r="O18" s="49"/>
      <c r="P18" s="47">
        <v>0</v>
      </c>
      <c r="Q18" s="48">
        <v>0</v>
      </c>
      <c r="R18" s="49"/>
      <c r="S18" s="47">
        <v>0</v>
      </c>
      <c r="T18" s="48">
        <v>0</v>
      </c>
    </row>
    <row r="19" spans="1:20" s="46" customFormat="1" ht="15" customHeight="1">
      <c r="A19" s="9" t="s">
        <v>11</v>
      </c>
      <c r="C19" s="47">
        <v>14</v>
      </c>
      <c r="D19" s="48">
        <v>53.25</v>
      </c>
      <c r="E19" s="48">
        <v>0</v>
      </c>
      <c r="F19" s="48">
        <v>53.25</v>
      </c>
      <c r="G19" s="48">
        <v>3.25</v>
      </c>
      <c r="H19" s="53">
        <v>56.5</v>
      </c>
      <c r="I19" s="49"/>
      <c r="J19" s="47">
        <v>9</v>
      </c>
      <c r="K19" s="48">
        <v>42.5</v>
      </c>
      <c r="L19" s="49"/>
      <c r="M19" s="47">
        <v>8</v>
      </c>
      <c r="N19" s="48">
        <v>40.7</v>
      </c>
      <c r="O19" s="49"/>
      <c r="P19" s="47">
        <v>5</v>
      </c>
      <c r="Q19" s="48">
        <v>16.95</v>
      </c>
      <c r="R19" s="49"/>
      <c r="S19" s="47">
        <v>4</v>
      </c>
      <c r="T19" s="48">
        <v>15.95</v>
      </c>
    </row>
    <row r="20" spans="1:20" s="46" customFormat="1" ht="15" customHeight="1">
      <c r="A20" s="9" t="s">
        <v>53</v>
      </c>
      <c r="C20" s="47">
        <v>14</v>
      </c>
      <c r="D20" s="48">
        <v>55</v>
      </c>
      <c r="E20" s="48">
        <v>2.25</v>
      </c>
      <c r="F20" s="48">
        <v>52.75</v>
      </c>
      <c r="G20" s="48">
        <v>2.75</v>
      </c>
      <c r="H20" s="53">
        <v>55.5</v>
      </c>
      <c r="I20" s="49"/>
      <c r="J20" s="47">
        <v>9</v>
      </c>
      <c r="K20" s="48">
        <v>45.25</v>
      </c>
      <c r="L20" s="49"/>
      <c r="M20" s="47">
        <v>9</v>
      </c>
      <c r="N20" s="48">
        <v>45.25</v>
      </c>
      <c r="O20" s="49"/>
      <c r="P20" s="47">
        <v>9</v>
      </c>
      <c r="Q20" s="48">
        <v>45.25</v>
      </c>
      <c r="R20" s="49"/>
      <c r="S20" s="47">
        <v>9</v>
      </c>
      <c r="T20" s="48">
        <v>45.25</v>
      </c>
    </row>
    <row r="21" spans="1:20" s="46" customFormat="1" ht="15" customHeight="1">
      <c r="A21" s="9" t="s">
        <v>14</v>
      </c>
      <c r="C21" s="47">
        <v>14</v>
      </c>
      <c r="D21" s="48">
        <v>52.15</v>
      </c>
      <c r="E21" s="48">
        <v>0</v>
      </c>
      <c r="F21" s="48">
        <v>52.15</v>
      </c>
      <c r="G21" s="48">
        <v>2.15</v>
      </c>
      <c r="H21" s="53">
        <v>54.3</v>
      </c>
      <c r="I21" s="49"/>
      <c r="J21" s="47">
        <v>6</v>
      </c>
      <c r="K21" s="48">
        <v>43.15</v>
      </c>
      <c r="L21" s="49"/>
      <c r="M21" s="47">
        <v>3</v>
      </c>
      <c r="N21" s="48">
        <v>39.25</v>
      </c>
      <c r="O21" s="49"/>
      <c r="P21" s="47">
        <v>3</v>
      </c>
      <c r="Q21" s="48">
        <v>39.25</v>
      </c>
      <c r="R21" s="49"/>
      <c r="S21" s="47">
        <v>3</v>
      </c>
      <c r="T21" s="48">
        <v>39.25</v>
      </c>
    </row>
    <row r="22" spans="1:20" s="46" customFormat="1" ht="15" customHeight="1">
      <c r="A22" s="9" t="s">
        <v>16</v>
      </c>
      <c r="C22" s="47">
        <v>14</v>
      </c>
      <c r="D22" s="48">
        <v>56.35</v>
      </c>
      <c r="E22" s="48">
        <v>8.75</v>
      </c>
      <c r="F22" s="48">
        <v>47.6</v>
      </c>
      <c r="G22" s="48">
        <v>0</v>
      </c>
      <c r="H22" s="53">
        <v>47.6</v>
      </c>
      <c r="I22" s="49"/>
      <c r="J22" s="47">
        <v>10</v>
      </c>
      <c r="K22" s="48">
        <v>44</v>
      </c>
      <c r="L22" s="49"/>
      <c r="M22" s="47">
        <v>9</v>
      </c>
      <c r="N22" s="48">
        <v>40.75</v>
      </c>
      <c r="O22" s="49"/>
      <c r="P22" s="47">
        <v>7</v>
      </c>
      <c r="Q22" s="48">
        <v>32</v>
      </c>
      <c r="R22" s="49"/>
      <c r="S22" s="47">
        <v>4</v>
      </c>
      <c r="T22" s="48">
        <v>11.25</v>
      </c>
    </row>
    <row r="23" spans="1:9" s="46" customFormat="1" ht="15" customHeight="1">
      <c r="A23" s="9"/>
      <c r="C23" s="47"/>
      <c r="D23" s="48"/>
      <c r="E23" s="48"/>
      <c r="F23" s="48"/>
      <c r="G23" s="48"/>
      <c r="H23" s="53"/>
      <c r="I23" s="49"/>
    </row>
    <row r="24" ht="7.5" customHeight="1"/>
    <row r="25" spans="3:17" ht="12.75">
      <c r="C25" s="119" t="s">
        <v>48</v>
      </c>
      <c r="D25" s="119"/>
      <c r="F25" s="51" t="s">
        <v>24</v>
      </c>
      <c r="G25" s="55" t="s">
        <v>31</v>
      </c>
      <c r="H25" s="55" t="s">
        <v>2</v>
      </c>
      <c r="I25" s="120" t="s">
        <v>3</v>
      </c>
      <c r="J25" s="120"/>
      <c r="K25" s="55"/>
      <c r="M25" s="120" t="s">
        <v>217</v>
      </c>
      <c r="N25" s="120"/>
      <c r="O25" s="120"/>
      <c r="P25" s="120"/>
      <c r="Q25" s="120"/>
    </row>
    <row r="26" spans="6:7" ht="6" customHeight="1">
      <c r="F26" s="42"/>
      <c r="G26" s="10"/>
    </row>
    <row r="27" spans="2:17" ht="15.75">
      <c r="B27" s="8" t="s">
        <v>32</v>
      </c>
      <c r="C27" s="123">
        <v>1006.65</v>
      </c>
      <c r="D27" s="124"/>
      <c r="F27" s="41" t="s">
        <v>43</v>
      </c>
      <c r="G27" s="44">
        <v>50</v>
      </c>
      <c r="H27" s="43">
        <v>222</v>
      </c>
      <c r="I27" s="117">
        <v>1006.65</v>
      </c>
      <c r="J27" s="117"/>
      <c r="K27" s="57"/>
      <c r="L27" s="57"/>
      <c r="M27" s="41" t="s">
        <v>36</v>
      </c>
      <c r="N27" s="44">
        <v>186</v>
      </c>
      <c r="O27" s="45"/>
      <c r="P27" s="41" t="s">
        <v>39</v>
      </c>
      <c r="Q27" s="44">
        <v>62</v>
      </c>
    </row>
    <row r="28" spans="2:17" ht="15.75">
      <c r="B28" s="8" t="s">
        <v>18</v>
      </c>
      <c r="C28" s="123">
        <v>631.75</v>
      </c>
      <c r="D28" s="124"/>
      <c r="F28" s="41" t="s">
        <v>44</v>
      </c>
      <c r="G28" s="44">
        <v>55</v>
      </c>
      <c r="H28" s="43">
        <v>117</v>
      </c>
      <c r="I28" s="117">
        <v>670.1</v>
      </c>
      <c r="J28" s="117"/>
      <c r="K28" s="57"/>
      <c r="L28" s="57"/>
      <c r="M28" s="41" t="s">
        <v>37</v>
      </c>
      <c r="N28" s="44">
        <v>135</v>
      </c>
      <c r="O28" s="45"/>
      <c r="P28" s="41" t="s">
        <v>40</v>
      </c>
      <c r="Q28" s="44">
        <v>42</v>
      </c>
    </row>
    <row r="29" spans="2:17" ht="15.75">
      <c r="B29" s="8" t="s">
        <v>33</v>
      </c>
      <c r="C29" s="123">
        <v>1638.4</v>
      </c>
      <c r="D29" s="124"/>
      <c r="F29" s="41" t="s">
        <v>45</v>
      </c>
      <c r="G29" s="44">
        <v>60.5</v>
      </c>
      <c r="H29" s="43">
        <v>95</v>
      </c>
      <c r="I29" s="117">
        <v>587.65</v>
      </c>
      <c r="J29" s="117"/>
      <c r="K29" s="57"/>
      <c r="L29" s="57"/>
      <c r="M29" s="41" t="s">
        <v>38</v>
      </c>
      <c r="N29" s="44">
        <v>93</v>
      </c>
      <c r="O29" s="45"/>
      <c r="P29" s="41" t="s">
        <v>41</v>
      </c>
      <c r="Q29" s="44">
        <v>0</v>
      </c>
    </row>
    <row r="30" spans="2:12" ht="15.75">
      <c r="B30" s="8" t="s">
        <v>34</v>
      </c>
      <c r="C30" s="122">
        <v>797</v>
      </c>
      <c r="D30" s="122"/>
      <c r="F30" s="41" t="s">
        <v>46</v>
      </c>
      <c r="G30" s="44">
        <v>66.55</v>
      </c>
      <c r="H30" s="43">
        <v>65</v>
      </c>
      <c r="I30" s="117">
        <v>425.8</v>
      </c>
      <c r="J30" s="117"/>
      <c r="K30" s="57"/>
      <c r="L30" s="57"/>
    </row>
    <row r="31" spans="2:17" ht="15.75">
      <c r="B31" s="8" t="s">
        <v>35</v>
      </c>
      <c r="C31" s="122">
        <v>841.4</v>
      </c>
      <c r="D31" s="122"/>
      <c r="F31" s="41" t="s">
        <v>47</v>
      </c>
      <c r="G31" s="44">
        <v>73.2</v>
      </c>
      <c r="H31" s="43">
        <v>53</v>
      </c>
      <c r="I31" s="117">
        <v>329.4</v>
      </c>
      <c r="J31" s="117"/>
      <c r="K31" s="57"/>
      <c r="L31" s="57"/>
      <c r="M31" s="119" t="s">
        <v>214</v>
      </c>
      <c r="N31" s="119"/>
      <c r="O31" s="45"/>
      <c r="P31" s="119" t="s">
        <v>215</v>
      </c>
      <c r="Q31" s="119"/>
    </row>
    <row r="32" spans="1:17" ht="12.75">
      <c r="A32" s="54"/>
      <c r="M32" s="66" t="s">
        <v>30</v>
      </c>
      <c r="N32" s="44">
        <v>120</v>
      </c>
      <c r="O32" s="45"/>
      <c r="P32" s="66" t="s">
        <v>30</v>
      </c>
      <c r="Q32" s="44">
        <v>159</v>
      </c>
    </row>
    <row r="33" spans="1:17" ht="12.75">
      <c r="A33" s="56"/>
      <c r="B33" s="121"/>
      <c r="C33" s="121"/>
      <c r="M33" s="66" t="s">
        <v>36</v>
      </c>
      <c r="N33" s="44">
        <v>60</v>
      </c>
      <c r="P33" s="66" t="s">
        <v>36</v>
      </c>
      <c r="Q33" s="44">
        <v>80</v>
      </c>
    </row>
    <row r="34" spans="13:17" ht="12.75">
      <c r="M34" s="66" t="s">
        <v>37</v>
      </c>
      <c r="N34" s="44">
        <v>42</v>
      </c>
      <c r="P34" s="66" t="s">
        <v>37</v>
      </c>
      <c r="Q34" s="44">
        <v>56</v>
      </c>
    </row>
    <row r="35" spans="13:17" ht="12.75">
      <c r="M35" s="66" t="s">
        <v>38</v>
      </c>
      <c r="N35" s="44">
        <v>18</v>
      </c>
      <c r="P35" s="66" t="s">
        <v>38</v>
      </c>
      <c r="Q35" s="44">
        <v>23</v>
      </c>
    </row>
  </sheetData>
  <sheetProtection/>
  <mergeCells count="21">
    <mergeCell ref="P31:Q31"/>
    <mergeCell ref="C29:D29"/>
    <mergeCell ref="I29:J29"/>
    <mergeCell ref="C30:D30"/>
    <mergeCell ref="I30:J30"/>
    <mergeCell ref="I27:J27"/>
    <mergeCell ref="C28:D28"/>
    <mergeCell ref="B33:C33"/>
    <mergeCell ref="C31:D31"/>
    <mergeCell ref="I31:J31"/>
    <mergeCell ref="M31:N31"/>
    <mergeCell ref="C27:D27"/>
    <mergeCell ref="J3:K3"/>
    <mergeCell ref="M3:N3"/>
    <mergeCell ref="I28:J28"/>
    <mergeCell ref="S3:T3"/>
    <mergeCell ref="C25:D25"/>
    <mergeCell ref="I25:J25"/>
    <mergeCell ref="M25:Q25"/>
    <mergeCell ref="C3:H3"/>
    <mergeCell ref="P3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249</v>
      </c>
      <c r="C5" s="18" t="s">
        <v>196</v>
      </c>
      <c r="D5" s="18" t="s">
        <v>98</v>
      </c>
      <c r="E5" s="34" t="s">
        <v>57</v>
      </c>
      <c r="F5" s="35">
        <v>3.3</v>
      </c>
      <c r="G5" s="12">
        <v>2007</v>
      </c>
      <c r="I5" s="37">
        <f aca="true" t="shared" si="0" ref="I5:M14">+IF($G5&gt;=I$3,$F5,0)</f>
        <v>3.3</v>
      </c>
      <c r="J5" s="37">
        <f t="shared" si="0"/>
        <v>3.3</v>
      </c>
      <c r="K5" s="37">
        <f t="shared" si="0"/>
        <v>3.3</v>
      </c>
      <c r="L5" s="37">
        <f t="shared" si="0"/>
        <v>3.3</v>
      </c>
      <c r="M5" s="37">
        <f t="shared" si="0"/>
        <v>3.3</v>
      </c>
    </row>
    <row r="6" spans="1:13" ht="12.75">
      <c r="A6" s="22">
        <v>2</v>
      </c>
      <c r="B6" s="36" t="s">
        <v>296</v>
      </c>
      <c r="C6" s="18" t="s">
        <v>173</v>
      </c>
      <c r="D6" s="18" t="s">
        <v>74</v>
      </c>
      <c r="E6" s="34" t="s">
        <v>57</v>
      </c>
      <c r="F6" s="35">
        <v>1.1</v>
      </c>
      <c r="G6" s="12">
        <v>2007</v>
      </c>
      <c r="I6" s="38">
        <f t="shared" si="0"/>
        <v>1.1</v>
      </c>
      <c r="J6" s="38">
        <f t="shared" si="0"/>
        <v>1.1</v>
      </c>
      <c r="K6" s="38">
        <f t="shared" si="0"/>
        <v>1.1</v>
      </c>
      <c r="L6" s="38">
        <f t="shared" si="0"/>
        <v>1.1</v>
      </c>
      <c r="M6" s="38">
        <f t="shared" si="0"/>
        <v>1.1</v>
      </c>
    </row>
    <row r="7" spans="1:13" ht="12.75">
      <c r="A7" s="22">
        <v>3</v>
      </c>
      <c r="B7" s="36" t="s">
        <v>97</v>
      </c>
      <c r="C7" s="18" t="s">
        <v>157</v>
      </c>
      <c r="D7" s="18" t="s">
        <v>98</v>
      </c>
      <c r="E7" s="34" t="s">
        <v>57</v>
      </c>
      <c r="F7" s="35">
        <v>11</v>
      </c>
      <c r="G7" s="12">
        <v>2006</v>
      </c>
      <c r="I7" s="38">
        <f t="shared" si="0"/>
        <v>11</v>
      </c>
      <c r="J7" s="38">
        <f t="shared" si="0"/>
        <v>11</v>
      </c>
      <c r="K7" s="38">
        <f t="shared" si="0"/>
        <v>11</v>
      </c>
      <c r="L7" s="38">
        <f t="shared" si="0"/>
        <v>11</v>
      </c>
      <c r="M7" s="38">
        <f t="shared" si="0"/>
        <v>0</v>
      </c>
    </row>
    <row r="8" spans="1:13" ht="12.75">
      <c r="A8" s="22">
        <v>4</v>
      </c>
      <c r="B8" s="36" t="s">
        <v>73</v>
      </c>
      <c r="C8" s="18" t="s">
        <v>196</v>
      </c>
      <c r="D8" s="18" t="s">
        <v>74</v>
      </c>
      <c r="E8" s="34" t="s">
        <v>57</v>
      </c>
      <c r="F8" s="35">
        <v>9.5</v>
      </c>
      <c r="G8" s="12">
        <v>2006</v>
      </c>
      <c r="I8" s="38">
        <f t="shared" si="0"/>
        <v>9.5</v>
      </c>
      <c r="J8" s="38">
        <f t="shared" si="0"/>
        <v>9.5</v>
      </c>
      <c r="K8" s="38">
        <f t="shared" si="0"/>
        <v>9.5</v>
      </c>
      <c r="L8" s="38">
        <f t="shared" si="0"/>
        <v>9.5</v>
      </c>
      <c r="M8" s="38">
        <f t="shared" si="0"/>
        <v>0</v>
      </c>
    </row>
    <row r="9" spans="1:13" ht="12.75">
      <c r="A9" s="22">
        <v>5</v>
      </c>
      <c r="B9" s="36" t="s">
        <v>119</v>
      </c>
      <c r="C9" s="18" t="s">
        <v>173</v>
      </c>
      <c r="D9" s="18" t="s">
        <v>105</v>
      </c>
      <c r="E9" s="34" t="s">
        <v>57</v>
      </c>
      <c r="F9" s="35">
        <v>8.25</v>
      </c>
      <c r="G9" s="13">
        <v>2006</v>
      </c>
      <c r="I9" s="38">
        <f t="shared" si="0"/>
        <v>8.25</v>
      </c>
      <c r="J9" s="38">
        <f t="shared" si="0"/>
        <v>8.25</v>
      </c>
      <c r="K9" s="38">
        <f t="shared" si="0"/>
        <v>8.25</v>
      </c>
      <c r="L9" s="38">
        <f t="shared" si="0"/>
        <v>8.25</v>
      </c>
      <c r="M9" s="38">
        <f t="shared" si="0"/>
        <v>0</v>
      </c>
    </row>
    <row r="10" spans="1:13" ht="12.75">
      <c r="A10" s="22">
        <v>6</v>
      </c>
      <c r="B10" s="36" t="s">
        <v>144</v>
      </c>
      <c r="C10" s="18" t="s">
        <v>173</v>
      </c>
      <c r="D10" s="18" t="s">
        <v>77</v>
      </c>
      <c r="E10" s="34" t="s">
        <v>57</v>
      </c>
      <c r="F10" s="35">
        <v>6.75</v>
      </c>
      <c r="G10" s="12">
        <v>2006</v>
      </c>
      <c r="I10" s="38">
        <f t="shared" si="0"/>
        <v>6.75</v>
      </c>
      <c r="J10" s="38">
        <f t="shared" si="0"/>
        <v>6.75</v>
      </c>
      <c r="K10" s="38">
        <f t="shared" si="0"/>
        <v>6.75</v>
      </c>
      <c r="L10" s="38">
        <f t="shared" si="0"/>
        <v>6.75</v>
      </c>
      <c r="M10" s="38">
        <f t="shared" si="0"/>
        <v>0</v>
      </c>
    </row>
    <row r="11" spans="1:13" ht="12.75">
      <c r="A11" s="22">
        <v>7</v>
      </c>
      <c r="B11" s="36" t="s">
        <v>168</v>
      </c>
      <c r="C11" s="18" t="s">
        <v>148</v>
      </c>
      <c r="D11" s="18" t="s">
        <v>103</v>
      </c>
      <c r="E11" s="34" t="s">
        <v>57</v>
      </c>
      <c r="F11" s="35">
        <v>4.25</v>
      </c>
      <c r="G11" s="12">
        <v>2006</v>
      </c>
      <c r="I11" s="38">
        <f t="shared" si="0"/>
        <v>4.25</v>
      </c>
      <c r="J11" s="38">
        <f t="shared" si="0"/>
        <v>4.25</v>
      </c>
      <c r="K11" s="38">
        <f t="shared" si="0"/>
        <v>4.25</v>
      </c>
      <c r="L11" s="38">
        <f t="shared" si="0"/>
        <v>4.25</v>
      </c>
      <c r="M11" s="38">
        <f t="shared" si="0"/>
        <v>0</v>
      </c>
    </row>
    <row r="12" spans="1:13" ht="12.75">
      <c r="A12" s="22">
        <v>8</v>
      </c>
      <c r="B12" s="36" t="s">
        <v>183</v>
      </c>
      <c r="C12" s="18" t="s">
        <v>151</v>
      </c>
      <c r="D12" s="18" t="s">
        <v>83</v>
      </c>
      <c r="E12" s="34" t="s">
        <v>57</v>
      </c>
      <c r="F12" s="35">
        <v>2.25</v>
      </c>
      <c r="G12" s="12">
        <v>2006</v>
      </c>
      <c r="I12" s="38">
        <f t="shared" si="0"/>
        <v>2.25</v>
      </c>
      <c r="J12" s="38">
        <f t="shared" si="0"/>
        <v>2.25</v>
      </c>
      <c r="K12" s="38">
        <f t="shared" si="0"/>
        <v>2.25</v>
      </c>
      <c r="L12" s="38">
        <f t="shared" si="0"/>
        <v>2.25</v>
      </c>
      <c r="M12" s="38">
        <f t="shared" si="0"/>
        <v>0</v>
      </c>
    </row>
    <row r="13" spans="1:13" ht="12.75">
      <c r="A13" s="22">
        <v>9</v>
      </c>
      <c r="B13" s="36" t="s">
        <v>184</v>
      </c>
      <c r="C13" s="18" t="s">
        <v>76</v>
      </c>
      <c r="D13" s="18" t="s">
        <v>114</v>
      </c>
      <c r="E13" s="34" t="s">
        <v>57</v>
      </c>
      <c r="F13" s="35">
        <v>2.25</v>
      </c>
      <c r="G13" s="12">
        <v>2006</v>
      </c>
      <c r="I13" s="38">
        <f t="shared" si="0"/>
        <v>2.25</v>
      </c>
      <c r="J13" s="38">
        <f t="shared" si="0"/>
        <v>2.25</v>
      </c>
      <c r="K13" s="38">
        <f t="shared" si="0"/>
        <v>2.25</v>
      </c>
      <c r="L13" s="38">
        <f t="shared" si="0"/>
        <v>2.25</v>
      </c>
      <c r="M13" s="38">
        <f t="shared" si="0"/>
        <v>0</v>
      </c>
    </row>
    <row r="14" spans="1:13" ht="12.75">
      <c r="A14" s="22">
        <v>10</v>
      </c>
      <c r="B14" s="36" t="s">
        <v>209</v>
      </c>
      <c r="C14" s="18" t="s">
        <v>148</v>
      </c>
      <c r="D14" s="18" t="s">
        <v>114</v>
      </c>
      <c r="E14" s="34" t="s">
        <v>57</v>
      </c>
      <c r="F14" s="35">
        <v>1.25</v>
      </c>
      <c r="G14" s="12">
        <v>2006</v>
      </c>
      <c r="I14" s="38">
        <f t="shared" si="0"/>
        <v>1.25</v>
      </c>
      <c r="J14" s="38">
        <f t="shared" si="0"/>
        <v>1.25</v>
      </c>
      <c r="K14" s="38">
        <f t="shared" si="0"/>
        <v>1.25</v>
      </c>
      <c r="L14" s="38">
        <f t="shared" si="0"/>
        <v>1.25</v>
      </c>
      <c r="M14" s="38">
        <f t="shared" si="0"/>
        <v>0</v>
      </c>
    </row>
    <row r="15" spans="1:13" ht="12.75">
      <c r="A15" s="22">
        <v>11</v>
      </c>
      <c r="B15" s="36" t="s">
        <v>138</v>
      </c>
      <c r="C15" s="18" t="s">
        <v>148</v>
      </c>
      <c r="D15" s="18" t="s">
        <v>56</v>
      </c>
      <c r="E15" s="34" t="s">
        <v>57</v>
      </c>
      <c r="F15" s="35">
        <v>1.9</v>
      </c>
      <c r="G15" s="12">
        <v>2004</v>
      </c>
      <c r="I15" s="38">
        <f aca="true" t="shared" si="1" ref="I15:M18">+IF($G15&gt;=I$3,$F15,0)</f>
        <v>1.9</v>
      </c>
      <c r="J15" s="38">
        <f t="shared" si="1"/>
        <v>1.9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343</v>
      </c>
      <c r="C16" s="18" t="s">
        <v>65</v>
      </c>
      <c r="D16" s="18" t="s">
        <v>74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247</v>
      </c>
      <c r="C17" s="18" t="s">
        <v>148</v>
      </c>
      <c r="D17" s="18" t="s">
        <v>56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381</v>
      </c>
      <c r="C18" s="18" t="s">
        <v>55</v>
      </c>
      <c r="D18" s="18" t="s">
        <v>81</v>
      </c>
      <c r="E18" s="34" t="s">
        <v>57</v>
      </c>
      <c r="F18" s="35">
        <v>1.1</v>
      </c>
      <c r="G18" s="12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55.1</v>
      </c>
      <c r="J20" s="39">
        <f>+SUM(J5:J18)</f>
        <v>51.8</v>
      </c>
      <c r="K20" s="39">
        <f>+SUM(K5:K18)</f>
        <v>49.9</v>
      </c>
      <c r="L20" s="39">
        <f>+SUM(L5:L18)</f>
        <v>49.9</v>
      </c>
      <c r="M20" s="39">
        <f>+SUM(M5:M18)</f>
        <v>4.4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191</v>
      </c>
      <c r="C26" s="18" t="s">
        <v>157</v>
      </c>
      <c r="D26" s="18" t="s">
        <v>115</v>
      </c>
      <c r="E26" s="34">
        <v>2003</v>
      </c>
      <c r="F26" s="35">
        <v>2.25</v>
      </c>
      <c r="G26" s="12">
        <v>2006</v>
      </c>
      <c r="I26" s="37">
        <f aca="true" t="shared" si="2" ref="I26:I31">+CEILING(IF($I$24=E26,F26,IF($I$24&lt;=G26,F26*0.3,0)),0.05)</f>
        <v>2.25</v>
      </c>
      <c r="J26" s="37">
        <f aca="true" t="shared" si="3" ref="J26:J31">+CEILING(IF($J$24&lt;=G26,F26*0.3,0),0.05)</f>
        <v>0.7000000000000001</v>
      </c>
      <c r="K26" s="37">
        <f aca="true" t="shared" si="4" ref="K26:K31">+CEILING(IF($K$24&lt;=G26,F26*0.3,0),0.05)</f>
        <v>0.7000000000000001</v>
      </c>
      <c r="L26" s="37">
        <f aca="true" t="shared" si="5" ref="L26:L31">+CEILING(IF($L$24&lt;=G26,F26*0.3,0),0.05)</f>
        <v>0.7000000000000001</v>
      </c>
      <c r="M26" s="37">
        <f aca="true" t="shared" si="6" ref="M26:M31">CEILING(IF($M$24&lt;=G26,F26*0.3,0),0.05)</f>
        <v>0</v>
      </c>
    </row>
    <row r="27" spans="1:13" ht="12.75">
      <c r="A27" s="22">
        <v>2</v>
      </c>
      <c r="B27" s="36" t="s">
        <v>331</v>
      </c>
      <c r="C27" s="18" t="s">
        <v>157</v>
      </c>
      <c r="D27" s="18" t="s">
        <v>136</v>
      </c>
      <c r="E27" s="34">
        <v>2003</v>
      </c>
      <c r="F27" s="35">
        <v>1.1</v>
      </c>
      <c r="G27" s="12">
        <v>2003</v>
      </c>
      <c r="I27" s="38">
        <f t="shared" si="2"/>
        <v>1.1</v>
      </c>
      <c r="J27" s="38">
        <f t="shared" si="3"/>
        <v>0</v>
      </c>
      <c r="K27" s="38">
        <f t="shared" si="4"/>
        <v>0</v>
      </c>
      <c r="L27" s="38">
        <f t="shared" si="5"/>
        <v>0</v>
      </c>
      <c r="M27" s="38">
        <f t="shared" si="6"/>
        <v>0</v>
      </c>
    </row>
    <row r="28" spans="1:13" ht="12.75">
      <c r="A28" s="22">
        <v>3</v>
      </c>
      <c r="B28" s="36" t="s">
        <v>291</v>
      </c>
      <c r="C28" s="18" t="s">
        <v>173</v>
      </c>
      <c r="D28" s="18" t="s">
        <v>86</v>
      </c>
      <c r="E28" s="34">
        <v>2003</v>
      </c>
      <c r="F28" s="35">
        <v>1.1</v>
      </c>
      <c r="G28" s="12">
        <v>2003</v>
      </c>
      <c r="I28" s="38">
        <f t="shared" si="2"/>
        <v>1.1</v>
      </c>
      <c r="J28" s="38">
        <f t="shared" si="3"/>
        <v>0</v>
      </c>
      <c r="K28" s="38">
        <f t="shared" si="4"/>
        <v>0</v>
      </c>
      <c r="L28" s="38">
        <f t="shared" si="5"/>
        <v>0</v>
      </c>
      <c r="M28" s="38">
        <f t="shared" si="6"/>
        <v>0</v>
      </c>
    </row>
    <row r="29" spans="1:13" ht="12.75">
      <c r="A29" s="22">
        <v>4</v>
      </c>
      <c r="B29" s="36" t="s">
        <v>370</v>
      </c>
      <c r="C29" s="18" t="s">
        <v>196</v>
      </c>
      <c r="D29" s="18" t="s">
        <v>121</v>
      </c>
      <c r="E29" s="34">
        <v>2003</v>
      </c>
      <c r="F29" s="35">
        <v>1.1</v>
      </c>
      <c r="G29" s="12">
        <v>2003</v>
      </c>
      <c r="I29" s="38">
        <f t="shared" si="2"/>
        <v>1.1</v>
      </c>
      <c r="J29" s="38">
        <f t="shared" si="3"/>
        <v>0</v>
      </c>
      <c r="K29" s="38">
        <f t="shared" si="4"/>
        <v>0</v>
      </c>
      <c r="L29" s="38">
        <f t="shared" si="5"/>
        <v>0</v>
      </c>
      <c r="M29" s="38">
        <f t="shared" si="6"/>
        <v>0</v>
      </c>
    </row>
    <row r="30" spans="1:13" ht="12.75">
      <c r="A30" s="22">
        <v>5</v>
      </c>
      <c r="B30" s="36" t="s">
        <v>117</v>
      </c>
      <c r="C30" s="18" t="s">
        <v>157</v>
      </c>
      <c r="D30" s="18" t="s">
        <v>121</v>
      </c>
      <c r="E30" s="34">
        <v>2003</v>
      </c>
      <c r="F30" s="35">
        <v>1.1</v>
      </c>
      <c r="G30" s="12">
        <v>2003</v>
      </c>
      <c r="I30" s="38">
        <f t="shared" si="2"/>
        <v>1.1</v>
      </c>
      <c r="J30" s="38">
        <f t="shared" si="3"/>
        <v>0</v>
      </c>
      <c r="K30" s="38">
        <f t="shared" si="4"/>
        <v>0</v>
      </c>
      <c r="L30" s="38">
        <f t="shared" si="5"/>
        <v>0</v>
      </c>
      <c r="M30" s="38">
        <f t="shared" si="6"/>
        <v>0</v>
      </c>
    </row>
    <row r="31" spans="1:13" ht="12.75">
      <c r="A31" s="22">
        <v>6</v>
      </c>
      <c r="B31" s="36" t="s">
        <v>346</v>
      </c>
      <c r="C31" s="18" t="s">
        <v>195</v>
      </c>
      <c r="D31" s="18" t="s">
        <v>63</v>
      </c>
      <c r="E31" s="34">
        <v>2003</v>
      </c>
      <c r="F31" s="35">
        <v>1.1</v>
      </c>
      <c r="G31" s="12">
        <v>2003</v>
      </c>
      <c r="I31" s="38">
        <f t="shared" si="2"/>
        <v>1.1</v>
      </c>
      <c r="J31" s="38">
        <f t="shared" si="3"/>
        <v>0</v>
      </c>
      <c r="K31" s="38">
        <f t="shared" si="4"/>
        <v>0</v>
      </c>
      <c r="L31" s="38">
        <f t="shared" si="5"/>
        <v>0</v>
      </c>
      <c r="M31" s="38">
        <f t="shared" si="6"/>
        <v>0</v>
      </c>
    </row>
    <row r="32" spans="9:13" ht="7.5" customHeight="1">
      <c r="I32" s="36"/>
      <c r="J32" s="36"/>
      <c r="K32" s="36"/>
      <c r="L32" s="36"/>
      <c r="M32" s="36"/>
    </row>
    <row r="33" spans="9:13" ht="12.75">
      <c r="I33" s="39">
        <f>+SUM(I26:I32)</f>
        <v>7.75</v>
      </c>
      <c r="J33" s="39">
        <f>+SUM(J26:J32)</f>
        <v>0.7000000000000001</v>
      </c>
      <c r="K33" s="39">
        <f>+SUM(K26:K32)</f>
        <v>0.7000000000000001</v>
      </c>
      <c r="L33" s="39">
        <f>+SUM(L26:L32)</f>
        <v>0.7000000000000001</v>
      </c>
      <c r="M33" s="39">
        <f>+SUM(M26:M32)</f>
        <v>0</v>
      </c>
    </row>
    <row r="34" spans="9:13" ht="12.75">
      <c r="I34" s="26"/>
      <c r="J34" s="26"/>
      <c r="K34" s="26"/>
      <c r="L34" s="26"/>
      <c r="M34" s="26"/>
    </row>
    <row r="35" spans="1:13" ht="15.75">
      <c r="A35" s="60" t="s">
        <v>23</v>
      </c>
      <c r="B35" s="16"/>
      <c r="C35" s="28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9:13" ht="7.5" customHeight="1">
      <c r="I36" s="26"/>
      <c r="J36" s="26"/>
      <c r="K36" s="26"/>
      <c r="L36" s="26"/>
      <c r="M36" s="26"/>
    </row>
    <row r="37" spans="1:13" ht="12.75">
      <c r="A37" s="22"/>
      <c r="B37" s="19" t="s">
        <v>26</v>
      </c>
      <c r="C37" s="20"/>
      <c r="D37" s="20"/>
      <c r="E37" s="20"/>
      <c r="F37" s="20" t="s">
        <v>25</v>
      </c>
      <c r="G37" s="20" t="s">
        <v>24</v>
      </c>
      <c r="I37" s="21">
        <f>+I$3</f>
        <v>2003</v>
      </c>
      <c r="J37" s="21">
        <f>+J$3</f>
        <v>2004</v>
      </c>
      <c r="K37" s="21">
        <f>+K$3</f>
        <v>2005</v>
      </c>
      <c r="L37" s="21">
        <f>+L$3</f>
        <v>2006</v>
      </c>
      <c r="M37" s="21">
        <f>+M$3</f>
        <v>2007</v>
      </c>
    </row>
    <row r="38" spans="1:13" ht="7.5" customHeight="1">
      <c r="A38" s="22"/>
      <c r="I38" s="26"/>
      <c r="J38" s="26"/>
      <c r="K38" s="26"/>
      <c r="L38" s="26"/>
      <c r="M38" s="26"/>
    </row>
    <row r="39" spans="1:13" ht="12.75">
      <c r="A39" s="22">
        <v>1</v>
      </c>
      <c r="B39" s="125" t="s">
        <v>369</v>
      </c>
      <c r="C39" s="125"/>
      <c r="D39" s="125"/>
      <c r="E39" s="125"/>
      <c r="F39" s="40">
        <v>0.7</v>
      </c>
      <c r="G39" s="18">
        <v>2004</v>
      </c>
      <c r="I39" s="58">
        <v>0.7</v>
      </c>
      <c r="J39" s="58">
        <v>0.7</v>
      </c>
      <c r="K39" s="58">
        <v>0</v>
      </c>
      <c r="L39" s="58">
        <v>0</v>
      </c>
      <c r="M39" s="58">
        <v>0</v>
      </c>
    </row>
    <row r="40" spans="1:13" ht="12.75">
      <c r="A40" s="22">
        <v>2</v>
      </c>
      <c r="B40" s="125"/>
      <c r="C40" s="125"/>
      <c r="D40" s="125"/>
      <c r="E40" s="125"/>
      <c r="I40" s="58"/>
      <c r="J40" s="58"/>
      <c r="K40" s="58"/>
      <c r="L40" s="58"/>
      <c r="M40" s="58"/>
    </row>
    <row r="41" spans="1:13" ht="7.5" customHeight="1">
      <c r="A41" s="22"/>
      <c r="I41" s="26"/>
      <c r="J41" s="26"/>
      <c r="K41" s="26"/>
      <c r="L41" s="26"/>
      <c r="M41" s="26"/>
    </row>
    <row r="42" spans="1:13" ht="12.75">
      <c r="A42" s="22"/>
      <c r="I42" s="26">
        <f>+SUM(I39:I41)</f>
        <v>0.7</v>
      </c>
      <c r="J42" s="26">
        <f>+SUM(J39:J41)</f>
        <v>0.7</v>
      </c>
      <c r="K42" s="26">
        <f>+SUM(K39:K41)</f>
        <v>0</v>
      </c>
      <c r="L42" s="26">
        <f>+SUM(L39:L41)</f>
        <v>0</v>
      </c>
      <c r="M42" s="26">
        <f>+SUM(M39:M41)</f>
        <v>0</v>
      </c>
    </row>
    <row r="43" spans="9:13" ht="12.75">
      <c r="I43" s="25"/>
      <c r="J43" s="25"/>
      <c r="K43" s="25"/>
      <c r="L43" s="25"/>
      <c r="M43" s="25"/>
    </row>
    <row r="44" spans="1:13" ht="15.75">
      <c r="A44" s="29"/>
      <c r="B44" s="30" t="s">
        <v>27</v>
      </c>
      <c r="C44" s="31"/>
      <c r="D44" s="32"/>
      <c r="E44" s="32"/>
      <c r="F44" s="32"/>
      <c r="G44" s="29"/>
      <c r="H44" s="32"/>
      <c r="I44" s="33">
        <f>+I20+I33+I42</f>
        <v>63.550000000000004</v>
      </c>
      <c r="J44" s="33">
        <f>+J20+J33+J42</f>
        <v>53.2</v>
      </c>
      <c r="K44" s="33">
        <f>+K20+K33+K42</f>
        <v>50.6</v>
      </c>
      <c r="L44" s="33">
        <f>+L20+L33+L42</f>
        <v>50.6</v>
      </c>
      <c r="M44" s="33">
        <f>+M20+M33+M42</f>
        <v>4.4</v>
      </c>
    </row>
  </sheetData>
  <sheetProtection/>
  <mergeCells count="2">
    <mergeCell ref="B39:E39"/>
    <mergeCell ref="B40:E4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134</v>
      </c>
      <c r="C5" s="18" t="s">
        <v>196</v>
      </c>
      <c r="D5" s="18" t="s">
        <v>94</v>
      </c>
      <c r="E5" s="34" t="s">
        <v>57</v>
      </c>
      <c r="F5" s="35">
        <v>2.25</v>
      </c>
      <c r="G5" s="12">
        <v>2007</v>
      </c>
      <c r="I5" s="37">
        <f aca="true" t="shared" si="0" ref="I5:M14">+IF($G5&gt;=I$3,$F5,0)</f>
        <v>2.25</v>
      </c>
      <c r="J5" s="37">
        <f t="shared" si="0"/>
        <v>2.25</v>
      </c>
      <c r="K5" s="37">
        <f t="shared" si="0"/>
        <v>2.25</v>
      </c>
      <c r="L5" s="37">
        <f t="shared" si="0"/>
        <v>2.25</v>
      </c>
      <c r="M5" s="37">
        <f t="shared" si="0"/>
        <v>2.25</v>
      </c>
    </row>
    <row r="6" spans="1:13" ht="12.75">
      <c r="A6" s="22">
        <v>2</v>
      </c>
      <c r="B6" s="36" t="s">
        <v>263</v>
      </c>
      <c r="C6" s="18" t="s">
        <v>151</v>
      </c>
      <c r="D6" s="18" t="s">
        <v>116</v>
      </c>
      <c r="E6" s="34" t="s">
        <v>57</v>
      </c>
      <c r="F6" s="35">
        <v>1.95</v>
      </c>
      <c r="G6" s="12">
        <v>2007</v>
      </c>
      <c r="I6" s="38">
        <f t="shared" si="0"/>
        <v>1.95</v>
      </c>
      <c r="J6" s="38">
        <f t="shared" si="0"/>
        <v>1.95</v>
      </c>
      <c r="K6" s="38">
        <f t="shared" si="0"/>
        <v>1.95</v>
      </c>
      <c r="L6" s="38">
        <f t="shared" si="0"/>
        <v>1.95</v>
      </c>
      <c r="M6" s="38">
        <f t="shared" si="0"/>
        <v>1.95</v>
      </c>
    </row>
    <row r="7" spans="1:13" ht="12.75">
      <c r="A7" s="22">
        <v>3</v>
      </c>
      <c r="B7" s="36" t="s">
        <v>308</v>
      </c>
      <c r="C7" s="18" t="s">
        <v>173</v>
      </c>
      <c r="D7" s="18" t="s">
        <v>116</v>
      </c>
      <c r="E7" s="34" t="s">
        <v>57</v>
      </c>
      <c r="F7" s="35">
        <v>1.1</v>
      </c>
      <c r="G7" s="12">
        <v>2007</v>
      </c>
      <c r="I7" s="38">
        <f t="shared" si="0"/>
        <v>1.1</v>
      </c>
      <c r="J7" s="38">
        <f t="shared" si="0"/>
        <v>1.1</v>
      </c>
      <c r="K7" s="38">
        <f t="shared" si="0"/>
        <v>1.1</v>
      </c>
      <c r="L7" s="38">
        <f t="shared" si="0"/>
        <v>1.1</v>
      </c>
      <c r="M7" s="38">
        <f t="shared" si="0"/>
        <v>1.1</v>
      </c>
    </row>
    <row r="8" spans="1:13" ht="12.75">
      <c r="A8" s="22">
        <v>4</v>
      </c>
      <c r="B8" s="36" t="s">
        <v>231</v>
      </c>
      <c r="C8" s="18" t="s">
        <v>195</v>
      </c>
      <c r="D8" s="18" t="s">
        <v>109</v>
      </c>
      <c r="E8" s="34" t="s">
        <v>57</v>
      </c>
      <c r="F8" s="35">
        <v>8</v>
      </c>
      <c r="G8" s="12">
        <v>2006</v>
      </c>
      <c r="I8" s="38">
        <f t="shared" si="0"/>
        <v>8</v>
      </c>
      <c r="J8" s="38">
        <f t="shared" si="0"/>
        <v>8</v>
      </c>
      <c r="K8" s="38">
        <f t="shared" si="0"/>
        <v>8</v>
      </c>
      <c r="L8" s="38">
        <f t="shared" si="0"/>
        <v>8</v>
      </c>
      <c r="M8" s="38">
        <f t="shared" si="0"/>
        <v>0</v>
      </c>
    </row>
    <row r="9" spans="1:13" ht="12.75">
      <c r="A9" s="22">
        <v>5</v>
      </c>
      <c r="B9" s="36" t="s">
        <v>252</v>
      </c>
      <c r="C9" s="18" t="s">
        <v>195</v>
      </c>
      <c r="D9" s="18" t="s">
        <v>86</v>
      </c>
      <c r="E9" s="34" t="s">
        <v>57</v>
      </c>
      <c r="F9" s="35">
        <v>5.05</v>
      </c>
      <c r="G9" s="12">
        <v>2006</v>
      </c>
      <c r="I9" s="38">
        <f t="shared" si="0"/>
        <v>5.05</v>
      </c>
      <c r="J9" s="38">
        <f t="shared" si="0"/>
        <v>5.05</v>
      </c>
      <c r="K9" s="38">
        <f t="shared" si="0"/>
        <v>5.05</v>
      </c>
      <c r="L9" s="38">
        <f t="shared" si="0"/>
        <v>5.05</v>
      </c>
      <c r="M9" s="38">
        <f t="shared" si="0"/>
        <v>0</v>
      </c>
    </row>
    <row r="10" spans="1:13" ht="12.75">
      <c r="A10" s="22">
        <v>6</v>
      </c>
      <c r="B10" s="36" t="s">
        <v>124</v>
      </c>
      <c r="C10" s="18" t="s">
        <v>148</v>
      </c>
      <c r="D10" s="18" t="s">
        <v>115</v>
      </c>
      <c r="E10" s="34" t="s">
        <v>57</v>
      </c>
      <c r="F10" s="35">
        <v>4.6</v>
      </c>
      <c r="G10" s="12">
        <v>2006</v>
      </c>
      <c r="I10" s="38">
        <f t="shared" si="0"/>
        <v>4.6</v>
      </c>
      <c r="J10" s="38">
        <f t="shared" si="0"/>
        <v>4.6</v>
      </c>
      <c r="K10" s="38">
        <f t="shared" si="0"/>
        <v>4.6</v>
      </c>
      <c r="L10" s="38">
        <f t="shared" si="0"/>
        <v>4.6</v>
      </c>
      <c r="M10" s="38">
        <f t="shared" si="0"/>
        <v>0</v>
      </c>
    </row>
    <row r="11" spans="1:13" ht="12.75">
      <c r="A11" s="22">
        <v>7</v>
      </c>
      <c r="B11" s="36" t="s">
        <v>189</v>
      </c>
      <c r="C11" s="18" t="s">
        <v>196</v>
      </c>
      <c r="D11" s="18" t="s">
        <v>86</v>
      </c>
      <c r="E11" s="34" t="s">
        <v>57</v>
      </c>
      <c r="F11" s="35">
        <v>3</v>
      </c>
      <c r="G11" s="12">
        <v>2006</v>
      </c>
      <c r="I11" s="38">
        <f t="shared" si="0"/>
        <v>3</v>
      </c>
      <c r="J11" s="38">
        <f t="shared" si="0"/>
        <v>3</v>
      </c>
      <c r="K11" s="38">
        <f t="shared" si="0"/>
        <v>3</v>
      </c>
      <c r="L11" s="38">
        <f t="shared" si="0"/>
        <v>3</v>
      </c>
      <c r="M11" s="38">
        <f t="shared" si="0"/>
        <v>0</v>
      </c>
    </row>
    <row r="12" spans="1:13" ht="12.75">
      <c r="A12" s="22">
        <v>8</v>
      </c>
      <c r="B12" s="36" t="s">
        <v>232</v>
      </c>
      <c r="C12" s="18" t="s">
        <v>76</v>
      </c>
      <c r="D12" s="18" t="s">
        <v>109</v>
      </c>
      <c r="E12" s="34" t="s">
        <v>57</v>
      </c>
      <c r="F12" s="35">
        <v>1.3</v>
      </c>
      <c r="G12" s="12">
        <v>2006</v>
      </c>
      <c r="I12" s="38">
        <f t="shared" si="0"/>
        <v>1.3</v>
      </c>
      <c r="J12" s="38">
        <f t="shared" si="0"/>
        <v>1.3</v>
      </c>
      <c r="K12" s="38">
        <f t="shared" si="0"/>
        <v>1.3</v>
      </c>
      <c r="L12" s="38">
        <f t="shared" si="0"/>
        <v>1.3</v>
      </c>
      <c r="M12" s="38">
        <f t="shared" si="0"/>
        <v>0</v>
      </c>
    </row>
    <row r="13" spans="1:13" ht="12.75">
      <c r="A13" s="22">
        <v>9</v>
      </c>
      <c r="B13" s="36" t="s">
        <v>123</v>
      </c>
      <c r="C13" s="18" t="s">
        <v>55</v>
      </c>
      <c r="D13" s="18" t="s">
        <v>61</v>
      </c>
      <c r="E13" s="34" t="s">
        <v>57</v>
      </c>
      <c r="F13" s="35">
        <v>8.75</v>
      </c>
      <c r="G13" s="12">
        <v>2003</v>
      </c>
      <c r="I13" s="38">
        <f t="shared" si="0"/>
        <v>8.75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127</v>
      </c>
      <c r="C14" s="18" t="s">
        <v>196</v>
      </c>
      <c r="D14" s="18" t="s">
        <v>109</v>
      </c>
      <c r="E14" s="34" t="s">
        <v>57</v>
      </c>
      <c r="F14" s="35">
        <v>8.75</v>
      </c>
      <c r="G14" s="12">
        <v>2003</v>
      </c>
      <c r="I14" s="38">
        <f t="shared" si="0"/>
        <v>8.75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164</v>
      </c>
      <c r="C15" s="18" t="s">
        <v>173</v>
      </c>
      <c r="D15" s="18" t="s">
        <v>115</v>
      </c>
      <c r="E15" s="34" t="s">
        <v>57</v>
      </c>
      <c r="F15" s="35">
        <v>3.25</v>
      </c>
      <c r="G15" s="12">
        <v>2003</v>
      </c>
      <c r="I15" s="38">
        <f aca="true" t="shared" si="1" ref="I15:M18">+IF($G15&gt;=I$3,$F15,0)</f>
        <v>3.25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117</v>
      </c>
      <c r="C16" s="18" t="s">
        <v>157</v>
      </c>
      <c r="D16" s="18" t="s">
        <v>121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388</v>
      </c>
      <c r="C17" s="18" t="s">
        <v>148</v>
      </c>
      <c r="D17" s="18" t="s">
        <v>74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389</v>
      </c>
      <c r="C18" s="18" t="s">
        <v>55</v>
      </c>
      <c r="D18" s="18" t="s">
        <v>87</v>
      </c>
      <c r="E18" s="34" t="s">
        <v>57</v>
      </c>
      <c r="F18" s="35">
        <v>1.1</v>
      </c>
      <c r="G18" s="12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51.300000000000004</v>
      </c>
      <c r="J20" s="39">
        <f>+SUM(J5:J18)</f>
        <v>27.250000000000004</v>
      </c>
      <c r="K20" s="39">
        <f>+SUM(K5:K18)</f>
        <v>27.250000000000004</v>
      </c>
      <c r="L20" s="39">
        <f>+SUM(L5:L18)</f>
        <v>27.250000000000004</v>
      </c>
      <c r="M20" s="39">
        <f>+SUM(M5:M18)</f>
        <v>5.300000000000001</v>
      </c>
    </row>
    <row r="22" spans="1:13" ht="15.75">
      <c r="A22" s="60" t="s">
        <v>22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182</v>
      </c>
      <c r="C26" s="18" t="s">
        <v>76</v>
      </c>
      <c r="D26" s="18" t="s">
        <v>61</v>
      </c>
      <c r="E26" s="34">
        <v>2003</v>
      </c>
      <c r="F26" s="35">
        <v>1</v>
      </c>
      <c r="G26" s="12">
        <v>2004</v>
      </c>
      <c r="I26" s="37">
        <f>+CEILING(IF($I$24=E26,F26,IF($I$24&lt;=G26,F26*0.3,0)),0.05)</f>
        <v>1</v>
      </c>
      <c r="J26" s="37">
        <f>+CEILING(IF($J$24&lt;=G26,F26*0.3,0),0.05)</f>
        <v>0.30000000000000004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 t="s">
        <v>177</v>
      </c>
      <c r="C27" s="18" t="s">
        <v>173</v>
      </c>
      <c r="D27" s="18" t="s">
        <v>63</v>
      </c>
      <c r="E27" s="34">
        <v>2003</v>
      </c>
      <c r="F27" s="35">
        <v>2.5</v>
      </c>
      <c r="G27" s="12">
        <v>2003</v>
      </c>
      <c r="I27" s="38">
        <f>+CEILING(IF($I$24=E27,F27,IF($I$24&lt;=G27,F27*0.3,0)),0.05)</f>
        <v>2.5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 t="s">
        <v>139</v>
      </c>
      <c r="C28" s="18" t="s">
        <v>151</v>
      </c>
      <c r="D28" s="18" t="s">
        <v>103</v>
      </c>
      <c r="E28" s="34">
        <v>2003</v>
      </c>
      <c r="F28" s="35">
        <v>1</v>
      </c>
      <c r="G28" s="12">
        <v>2003</v>
      </c>
      <c r="I28" s="38">
        <f>+CEILING(IF($I$24=E28,F28,IF($I$24&lt;=G28,F28*0.3,0)),0.05)</f>
        <v>1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/>
      <c r="D29" s="18"/>
      <c r="E29" s="34"/>
      <c r="F29" s="35"/>
      <c r="G29" s="12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B30" s="36"/>
      <c r="D30" s="18"/>
      <c r="E30" s="34"/>
      <c r="F30" s="35"/>
      <c r="G30" s="12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4.5</v>
      </c>
      <c r="J32" s="39">
        <f>+SUM(J26:J31)</f>
        <v>0.30000000000000004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27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26"/>
      <c r="J37" s="26"/>
      <c r="K37" s="26"/>
      <c r="L37" s="26"/>
      <c r="M37" s="26"/>
    </row>
    <row r="38" spans="1:13" ht="12.75">
      <c r="A38" s="22">
        <v>1</v>
      </c>
      <c r="B38" s="125"/>
      <c r="C38" s="125"/>
      <c r="D38" s="125"/>
      <c r="E38" s="125"/>
      <c r="F38" s="40"/>
      <c r="G38" s="18"/>
      <c r="I38" s="58"/>
      <c r="J38" s="58"/>
      <c r="K38" s="58"/>
      <c r="L38" s="58"/>
      <c r="M38" s="58"/>
    </row>
    <row r="39" spans="1:13" ht="12.75">
      <c r="A39" s="22">
        <v>2</v>
      </c>
      <c r="B39" s="125"/>
      <c r="C39" s="125"/>
      <c r="D39" s="125"/>
      <c r="E39" s="125"/>
      <c r="I39" s="26"/>
      <c r="J39" s="26"/>
      <c r="K39" s="26"/>
      <c r="L39" s="26"/>
      <c r="M39" s="26"/>
    </row>
    <row r="40" spans="1:13" ht="7.5" customHeight="1">
      <c r="A40" s="22"/>
      <c r="I40" s="26"/>
      <c r="J40" s="26"/>
      <c r="K40" s="26"/>
      <c r="L40" s="26"/>
      <c r="M40" s="26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1:13" ht="12.75">
      <c r="A42" s="22"/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55.800000000000004</v>
      </c>
      <c r="J43" s="33">
        <f>+J20+J32+J41</f>
        <v>27.550000000000004</v>
      </c>
      <c r="K43" s="33">
        <f>+K20+K32+K41</f>
        <v>27.250000000000004</v>
      </c>
      <c r="L43" s="33">
        <f>+L20+L32+L41</f>
        <v>27.250000000000004</v>
      </c>
      <c r="M43" s="33">
        <f>+M20+M32+M41</f>
        <v>5.300000000000001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290</v>
      </c>
      <c r="C5" s="18" t="s">
        <v>195</v>
      </c>
      <c r="D5" s="18" t="s">
        <v>59</v>
      </c>
      <c r="E5" s="34" t="s">
        <v>57</v>
      </c>
      <c r="F5" s="35">
        <v>6.4</v>
      </c>
      <c r="G5" s="12">
        <v>2007</v>
      </c>
      <c r="I5" s="37">
        <f aca="true" t="shared" si="0" ref="I5:M14">+IF($G5&gt;=I$3,$F5,0)</f>
        <v>6.4</v>
      </c>
      <c r="J5" s="37">
        <f t="shared" si="0"/>
        <v>6.4</v>
      </c>
      <c r="K5" s="37">
        <f t="shared" si="0"/>
        <v>6.4</v>
      </c>
      <c r="L5" s="37">
        <f t="shared" si="0"/>
        <v>6.4</v>
      </c>
      <c r="M5" s="37">
        <f t="shared" si="0"/>
        <v>6.4</v>
      </c>
    </row>
    <row r="6" spans="1:13" ht="12.75">
      <c r="A6" s="22">
        <v>2</v>
      </c>
      <c r="B6" s="36" t="s">
        <v>60</v>
      </c>
      <c r="C6" s="18" t="s">
        <v>148</v>
      </c>
      <c r="D6" s="18" t="s">
        <v>61</v>
      </c>
      <c r="E6" s="34" t="s">
        <v>57</v>
      </c>
      <c r="F6" s="35">
        <v>13</v>
      </c>
      <c r="G6" s="12">
        <v>2006</v>
      </c>
      <c r="I6" s="38">
        <f t="shared" si="0"/>
        <v>13</v>
      </c>
      <c r="J6" s="38">
        <f t="shared" si="0"/>
        <v>13</v>
      </c>
      <c r="K6" s="38">
        <f t="shared" si="0"/>
        <v>13</v>
      </c>
      <c r="L6" s="38">
        <f t="shared" si="0"/>
        <v>13</v>
      </c>
      <c r="M6" s="38">
        <f t="shared" si="0"/>
        <v>0</v>
      </c>
    </row>
    <row r="7" spans="1:13" ht="12.75">
      <c r="A7" s="22">
        <v>3</v>
      </c>
      <c r="B7" s="36" t="s">
        <v>106</v>
      </c>
      <c r="C7" s="18" t="s">
        <v>157</v>
      </c>
      <c r="D7" s="18" t="s">
        <v>72</v>
      </c>
      <c r="E7" s="34" t="s">
        <v>57</v>
      </c>
      <c r="F7" s="35">
        <v>12.5</v>
      </c>
      <c r="G7" s="12">
        <v>2006</v>
      </c>
      <c r="I7" s="38">
        <f t="shared" si="0"/>
        <v>12.5</v>
      </c>
      <c r="J7" s="38">
        <f t="shared" si="0"/>
        <v>12.5</v>
      </c>
      <c r="K7" s="38">
        <f t="shared" si="0"/>
        <v>12.5</v>
      </c>
      <c r="L7" s="38">
        <f t="shared" si="0"/>
        <v>12.5</v>
      </c>
      <c r="M7" s="38">
        <f t="shared" si="0"/>
        <v>0</v>
      </c>
    </row>
    <row r="8" spans="1:13" ht="12.75">
      <c r="A8" s="22">
        <v>4</v>
      </c>
      <c r="B8" s="36" t="s">
        <v>101</v>
      </c>
      <c r="C8" s="18" t="s">
        <v>157</v>
      </c>
      <c r="D8" s="18" t="s">
        <v>56</v>
      </c>
      <c r="E8" s="34" t="s">
        <v>57</v>
      </c>
      <c r="F8" s="35">
        <v>11</v>
      </c>
      <c r="G8" s="12">
        <v>2005</v>
      </c>
      <c r="I8" s="38">
        <f t="shared" si="0"/>
        <v>11</v>
      </c>
      <c r="J8" s="38">
        <f t="shared" si="0"/>
        <v>11</v>
      </c>
      <c r="K8" s="38">
        <f t="shared" si="0"/>
        <v>11</v>
      </c>
      <c r="L8" s="38">
        <f t="shared" si="0"/>
        <v>0</v>
      </c>
      <c r="M8" s="38">
        <f t="shared" si="0"/>
        <v>0</v>
      </c>
    </row>
    <row r="9" spans="1:13" ht="12.75">
      <c r="A9" s="22">
        <v>5</v>
      </c>
      <c r="B9" s="36" t="s">
        <v>165</v>
      </c>
      <c r="C9" s="18" t="s">
        <v>196</v>
      </c>
      <c r="D9" s="18" t="s">
        <v>112</v>
      </c>
      <c r="E9" s="34" t="s">
        <v>57</v>
      </c>
      <c r="F9" s="35">
        <v>9</v>
      </c>
      <c r="G9" s="12">
        <v>2004</v>
      </c>
      <c r="I9" s="38">
        <f t="shared" si="0"/>
        <v>9</v>
      </c>
      <c r="J9" s="38">
        <f t="shared" si="0"/>
        <v>9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36" t="s">
        <v>211</v>
      </c>
      <c r="C10" s="18" t="s">
        <v>76</v>
      </c>
      <c r="D10" s="18" t="s">
        <v>94</v>
      </c>
      <c r="E10" s="34" t="s">
        <v>57</v>
      </c>
      <c r="F10" s="35">
        <v>2</v>
      </c>
      <c r="G10" s="12">
        <v>2004</v>
      </c>
      <c r="I10" s="38">
        <f t="shared" si="0"/>
        <v>2</v>
      </c>
      <c r="J10" s="38">
        <f t="shared" si="0"/>
        <v>2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277</v>
      </c>
      <c r="C11" s="18" t="s">
        <v>196</v>
      </c>
      <c r="D11" s="18" t="s">
        <v>68</v>
      </c>
      <c r="E11" s="34" t="s">
        <v>57</v>
      </c>
      <c r="F11" s="35">
        <v>5.7</v>
      </c>
      <c r="G11" s="12">
        <v>2003</v>
      </c>
      <c r="I11" s="38">
        <f t="shared" si="0"/>
        <v>5.7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371</v>
      </c>
      <c r="C12" s="18" t="s">
        <v>148</v>
      </c>
      <c r="D12" s="18" t="s">
        <v>136</v>
      </c>
      <c r="E12" s="34" t="s">
        <v>57</v>
      </c>
      <c r="F12" s="35">
        <v>1.1</v>
      </c>
      <c r="G12" s="12">
        <v>2003</v>
      </c>
      <c r="I12" s="38">
        <f t="shared" si="0"/>
        <v>1.1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387</v>
      </c>
      <c r="C13" s="18" t="s">
        <v>157</v>
      </c>
      <c r="D13" s="18" t="s">
        <v>79</v>
      </c>
      <c r="E13" s="34" t="s">
        <v>57</v>
      </c>
      <c r="F13" s="35">
        <v>1.1</v>
      </c>
      <c r="G13" s="12">
        <v>2003</v>
      </c>
      <c r="I13" s="38">
        <f t="shared" si="0"/>
        <v>1.1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334</v>
      </c>
      <c r="C14" s="18" t="s">
        <v>65</v>
      </c>
      <c r="D14" s="18" t="s">
        <v>56</v>
      </c>
      <c r="E14" s="34" t="s">
        <v>57</v>
      </c>
      <c r="F14" s="35">
        <v>1.1</v>
      </c>
      <c r="G14" s="13">
        <v>2003</v>
      </c>
      <c r="I14" s="38">
        <f t="shared" si="0"/>
        <v>1.1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344</v>
      </c>
      <c r="C15" s="18" t="s">
        <v>196</v>
      </c>
      <c r="D15" s="18" t="s">
        <v>66</v>
      </c>
      <c r="E15" s="34" t="s">
        <v>57</v>
      </c>
      <c r="F15" s="35">
        <v>1.1</v>
      </c>
      <c r="G15" s="12">
        <v>2003</v>
      </c>
      <c r="I15" s="38">
        <f aca="true" t="shared" si="1" ref="I15:M18">+IF($G15&gt;=I$3,$F15,0)</f>
        <v>1.1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366</v>
      </c>
      <c r="C16" s="18" t="s">
        <v>196</v>
      </c>
      <c r="D16" s="18" t="s">
        <v>114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318</v>
      </c>
      <c r="C17" s="18" t="s">
        <v>173</v>
      </c>
      <c r="D17" s="18" t="s">
        <v>85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380</v>
      </c>
      <c r="C18" s="18" t="s">
        <v>65</v>
      </c>
      <c r="D18" s="18" t="s">
        <v>69</v>
      </c>
      <c r="E18" s="34" t="s">
        <v>57</v>
      </c>
      <c r="F18" s="35">
        <v>1.1</v>
      </c>
      <c r="G18" s="12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2:13" ht="12.75">
      <c r="B20" s="36"/>
      <c r="D20" s="18"/>
      <c r="E20" s="34"/>
      <c r="F20" s="35"/>
      <c r="G20" s="12"/>
      <c r="I20" s="39">
        <f>+SUM(I5:I18)</f>
        <v>67.29999999999998</v>
      </c>
      <c r="J20" s="39">
        <f>+SUM(J5:J18)</f>
        <v>53.9</v>
      </c>
      <c r="K20" s="39">
        <f>+SUM(K5:K18)</f>
        <v>42.9</v>
      </c>
      <c r="L20" s="39">
        <f>+SUM(L5:L18)</f>
        <v>31.9</v>
      </c>
      <c r="M20" s="39">
        <f>+SUM(M5:M18)</f>
        <v>6.4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171</v>
      </c>
      <c r="C26" s="18" t="s">
        <v>148</v>
      </c>
      <c r="D26" s="18" t="s">
        <v>116</v>
      </c>
      <c r="E26" s="34">
        <v>2002</v>
      </c>
      <c r="F26" s="35">
        <v>1.5</v>
      </c>
      <c r="G26" s="12">
        <v>2005</v>
      </c>
      <c r="I26" s="37">
        <f aca="true" t="shared" si="2" ref="I26:I35">+CEILING(IF($I$24=E26,F26,IF($I$24&lt;=G26,F26*0.3,0)),0.05)</f>
        <v>0.45</v>
      </c>
      <c r="J26" s="37">
        <f aca="true" t="shared" si="3" ref="J26:J35">+CEILING(IF($J$24&lt;=G26,F26*0.3,0),0.05)</f>
        <v>0.45</v>
      </c>
      <c r="K26" s="37">
        <f aca="true" t="shared" si="4" ref="K26:K35">+CEILING(IF($K$24&lt;=G26,F26*0.3,0),0.05)</f>
        <v>0.45</v>
      </c>
      <c r="L26" s="37">
        <f aca="true" t="shared" si="5" ref="L26:L35">+CEILING(IF($L$24&lt;=G26,F26*0.3,0),0.05)</f>
        <v>0</v>
      </c>
      <c r="M26" s="37">
        <f aca="true" t="shared" si="6" ref="M26:M35">CEILING(IF($M$24&lt;=G26,F26*0.3,0),0.05)</f>
        <v>0</v>
      </c>
    </row>
    <row r="27" spans="1:13" ht="12.75">
      <c r="A27" s="22">
        <v>2</v>
      </c>
      <c r="B27" s="36" t="s">
        <v>169</v>
      </c>
      <c r="C27" s="18" t="s">
        <v>76</v>
      </c>
      <c r="D27" s="18" t="s">
        <v>81</v>
      </c>
      <c r="E27" s="34">
        <v>2003</v>
      </c>
      <c r="F27" s="35">
        <v>3.25</v>
      </c>
      <c r="G27" s="12">
        <v>2004</v>
      </c>
      <c r="I27" s="38">
        <f t="shared" si="2"/>
        <v>3.25</v>
      </c>
      <c r="J27" s="38">
        <f t="shared" si="3"/>
        <v>1</v>
      </c>
      <c r="K27" s="38">
        <f t="shared" si="4"/>
        <v>0</v>
      </c>
      <c r="L27" s="38">
        <f t="shared" si="5"/>
        <v>0</v>
      </c>
      <c r="M27" s="38">
        <f t="shared" si="6"/>
        <v>0</v>
      </c>
    </row>
    <row r="28" spans="1:13" ht="12.75">
      <c r="A28" s="22">
        <v>3</v>
      </c>
      <c r="B28" s="36" t="s">
        <v>269</v>
      </c>
      <c r="C28" s="18" t="s">
        <v>65</v>
      </c>
      <c r="D28" s="18" t="s">
        <v>115</v>
      </c>
      <c r="E28" s="34">
        <v>2003</v>
      </c>
      <c r="F28" s="35">
        <v>1.1</v>
      </c>
      <c r="G28" s="13">
        <v>2003</v>
      </c>
      <c r="I28" s="38">
        <f t="shared" si="2"/>
        <v>1.1</v>
      </c>
      <c r="J28" s="38">
        <f t="shared" si="3"/>
        <v>0</v>
      </c>
      <c r="K28" s="38">
        <f t="shared" si="4"/>
        <v>0</v>
      </c>
      <c r="L28" s="38">
        <f t="shared" si="5"/>
        <v>0</v>
      </c>
      <c r="M28" s="38">
        <f t="shared" si="6"/>
        <v>0</v>
      </c>
    </row>
    <row r="29" spans="1:13" ht="12.75">
      <c r="A29" s="22">
        <v>4</v>
      </c>
      <c r="B29" s="36" t="s">
        <v>291</v>
      </c>
      <c r="C29" s="18" t="s">
        <v>173</v>
      </c>
      <c r="D29" s="18" t="s">
        <v>86</v>
      </c>
      <c r="E29" s="34">
        <v>2003</v>
      </c>
      <c r="F29" s="35">
        <v>1.1</v>
      </c>
      <c r="G29" s="12">
        <v>2003</v>
      </c>
      <c r="I29" s="38">
        <f t="shared" si="2"/>
        <v>1.1</v>
      </c>
      <c r="J29" s="38">
        <f t="shared" si="3"/>
        <v>0</v>
      </c>
      <c r="K29" s="38">
        <f t="shared" si="4"/>
        <v>0</v>
      </c>
      <c r="L29" s="38">
        <f t="shared" si="5"/>
        <v>0</v>
      </c>
      <c r="M29" s="38">
        <f t="shared" si="6"/>
        <v>0</v>
      </c>
    </row>
    <row r="30" spans="1:13" ht="12.75">
      <c r="A30" s="22">
        <v>5</v>
      </c>
      <c r="B30" s="36" t="s">
        <v>352</v>
      </c>
      <c r="C30" s="18" t="s">
        <v>148</v>
      </c>
      <c r="D30" s="18" t="s">
        <v>66</v>
      </c>
      <c r="E30" s="34">
        <v>2003</v>
      </c>
      <c r="F30" s="35">
        <v>1.1</v>
      </c>
      <c r="G30" s="12">
        <v>2003</v>
      </c>
      <c r="I30" s="38">
        <f t="shared" si="2"/>
        <v>1.1</v>
      </c>
      <c r="J30" s="38">
        <f t="shared" si="3"/>
        <v>0</v>
      </c>
      <c r="K30" s="38">
        <f t="shared" si="4"/>
        <v>0</v>
      </c>
      <c r="L30" s="38">
        <f t="shared" si="5"/>
        <v>0</v>
      </c>
      <c r="M30" s="38">
        <f t="shared" si="6"/>
        <v>0</v>
      </c>
    </row>
    <row r="31" spans="1:13" ht="12.75">
      <c r="A31" s="22">
        <v>6</v>
      </c>
      <c r="B31" s="36" t="s">
        <v>360</v>
      </c>
      <c r="C31" s="18" t="s">
        <v>76</v>
      </c>
      <c r="D31" s="18" t="s">
        <v>115</v>
      </c>
      <c r="E31" s="34">
        <v>2003</v>
      </c>
      <c r="F31" s="35">
        <v>1.1</v>
      </c>
      <c r="G31" s="12">
        <v>2003</v>
      </c>
      <c r="I31" s="38">
        <f t="shared" si="2"/>
        <v>1.1</v>
      </c>
      <c r="J31" s="38">
        <f t="shared" si="3"/>
        <v>0</v>
      </c>
      <c r="K31" s="38">
        <f t="shared" si="4"/>
        <v>0</v>
      </c>
      <c r="L31" s="38">
        <f t="shared" si="5"/>
        <v>0</v>
      </c>
      <c r="M31" s="38">
        <f t="shared" si="6"/>
        <v>0</v>
      </c>
    </row>
    <row r="32" spans="1:13" ht="12.75">
      <c r="A32" s="22">
        <v>7</v>
      </c>
      <c r="B32" s="36" t="s">
        <v>368</v>
      </c>
      <c r="C32" s="18" t="s">
        <v>76</v>
      </c>
      <c r="D32" s="18" t="s">
        <v>136</v>
      </c>
      <c r="E32" s="34">
        <v>2003</v>
      </c>
      <c r="F32" s="35">
        <v>1.1</v>
      </c>
      <c r="G32" s="12">
        <v>2003</v>
      </c>
      <c r="I32" s="38">
        <f>+CEILING(IF($I$24=E32,F32,IF($I$24&lt;=G32,F32*0.3,0)),0.05)</f>
        <v>1.1</v>
      </c>
      <c r="J32" s="38">
        <f>+CEILING(IF($J$24&lt;=G32,F32*0.3,0),0.05)</f>
        <v>0</v>
      </c>
      <c r="K32" s="38">
        <f>+CEILING(IF($K$24&lt;=G32,F32*0.3,0),0.05)</f>
        <v>0</v>
      </c>
      <c r="L32" s="38">
        <f>+CEILING(IF($L$24&lt;=G32,F32*0.3,0),0.05)</f>
        <v>0</v>
      </c>
      <c r="M32" s="38">
        <f>CEILING(IF($M$24&lt;=G32,F32*0.3,0),0.05)</f>
        <v>0</v>
      </c>
    </row>
    <row r="33" spans="1:13" ht="12.75">
      <c r="A33" s="22">
        <v>8</v>
      </c>
      <c r="B33" s="36" t="s">
        <v>307</v>
      </c>
      <c r="C33" s="18" t="s">
        <v>76</v>
      </c>
      <c r="D33" s="18" t="s">
        <v>68</v>
      </c>
      <c r="E33" s="34">
        <v>2003</v>
      </c>
      <c r="F33" s="35">
        <v>1.1</v>
      </c>
      <c r="G33" s="12">
        <v>2003</v>
      </c>
      <c r="I33" s="38">
        <f>+CEILING(IF($I$24=E33,F33,IF($I$24&lt;=G33,F33*0.3,0)),0.05)</f>
        <v>1.1</v>
      </c>
      <c r="J33" s="38">
        <f>+CEILING(IF($J$24&lt;=G33,F33*0.3,0),0.05)</f>
        <v>0</v>
      </c>
      <c r="K33" s="38">
        <f>+CEILING(IF($K$24&lt;=G33,F33*0.3,0),0.05)</f>
        <v>0</v>
      </c>
      <c r="L33" s="38">
        <f>+CEILING(IF($L$24&lt;=G33,F33*0.3,0),0.05)</f>
        <v>0</v>
      </c>
      <c r="M33" s="38">
        <f>CEILING(IF($M$24&lt;=G33,F33*0.3,0),0.05)</f>
        <v>0</v>
      </c>
    </row>
    <row r="34" spans="1:13" ht="12.75">
      <c r="A34" s="22">
        <v>9</v>
      </c>
      <c r="B34" s="36" t="s">
        <v>169</v>
      </c>
      <c r="C34" s="18" t="s">
        <v>76</v>
      </c>
      <c r="D34" s="18" t="s">
        <v>81</v>
      </c>
      <c r="E34" s="34">
        <v>2003</v>
      </c>
      <c r="F34" s="35">
        <v>1.1</v>
      </c>
      <c r="G34" s="12">
        <v>2003</v>
      </c>
      <c r="I34" s="38">
        <f>+CEILING(IF($I$24=E34,F34,IF($I$24&lt;=G34,F34*0.3,0)),0.05)</f>
        <v>1.1</v>
      </c>
      <c r="J34" s="38">
        <f>+CEILING(IF($J$24&lt;=G34,F34*0.3,0),0.05)</f>
        <v>0</v>
      </c>
      <c r="K34" s="38">
        <f>+CEILING(IF($K$24&lt;=G34,F34*0.3,0),0.05)</f>
        <v>0</v>
      </c>
      <c r="L34" s="38">
        <f>+CEILING(IF($L$24&lt;=G34,F34*0.3,0),0.05)</f>
        <v>0</v>
      </c>
      <c r="M34" s="38">
        <f>CEILING(IF($M$24&lt;=G34,F34*0.3,0),0.05)</f>
        <v>0</v>
      </c>
    </row>
    <row r="35" spans="1:13" ht="12.75">
      <c r="A35" s="22">
        <v>10</v>
      </c>
      <c r="B35" s="36" t="s">
        <v>194</v>
      </c>
      <c r="C35" s="18" t="s">
        <v>173</v>
      </c>
      <c r="D35" s="18" t="s">
        <v>56</v>
      </c>
      <c r="E35" s="34">
        <v>2003</v>
      </c>
      <c r="F35" s="35">
        <v>1</v>
      </c>
      <c r="G35" s="12">
        <v>2003</v>
      </c>
      <c r="I35" s="38">
        <f t="shared" si="2"/>
        <v>1</v>
      </c>
      <c r="J35" s="38">
        <f t="shared" si="3"/>
        <v>0</v>
      </c>
      <c r="K35" s="38">
        <f t="shared" si="4"/>
        <v>0</v>
      </c>
      <c r="L35" s="38">
        <f t="shared" si="5"/>
        <v>0</v>
      </c>
      <c r="M35" s="38">
        <f t="shared" si="6"/>
        <v>0</v>
      </c>
    </row>
    <row r="36" spans="9:13" ht="7.5" customHeight="1">
      <c r="I36" s="36"/>
      <c r="J36" s="36"/>
      <c r="K36" s="36"/>
      <c r="L36" s="36"/>
      <c r="M36" s="36"/>
    </row>
    <row r="37" spans="9:13" ht="12.75">
      <c r="I37" s="39">
        <f>+SUM(I26:I36)</f>
        <v>12.399999999999999</v>
      </c>
      <c r="J37" s="39">
        <f>+SUM(J26:J36)</f>
        <v>1.45</v>
      </c>
      <c r="K37" s="39">
        <f>+SUM(K26:K36)</f>
        <v>0.45</v>
      </c>
      <c r="L37" s="39">
        <f>+SUM(L26:L36)</f>
        <v>0</v>
      </c>
      <c r="M37" s="39">
        <f>+SUM(M26:M36)</f>
        <v>0</v>
      </c>
    </row>
    <row r="38" spans="9:13" ht="12.75">
      <c r="I38" s="26"/>
      <c r="J38" s="26"/>
      <c r="K38" s="26"/>
      <c r="L38" s="26"/>
      <c r="M38" s="26"/>
    </row>
    <row r="39" spans="1:13" ht="15.75">
      <c r="A39" s="60" t="s">
        <v>23</v>
      </c>
      <c r="B39" s="16"/>
      <c r="C39" s="28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9:13" ht="7.5" customHeight="1">
      <c r="I40" s="26"/>
      <c r="J40" s="26"/>
      <c r="K40" s="26"/>
      <c r="L40" s="26"/>
      <c r="M40" s="26"/>
    </row>
    <row r="41" spans="1:13" ht="12.75">
      <c r="A41" s="22"/>
      <c r="B41" s="19" t="s">
        <v>26</v>
      </c>
      <c r="C41" s="20"/>
      <c r="D41" s="20"/>
      <c r="E41" s="20"/>
      <c r="F41" s="20" t="s">
        <v>25</v>
      </c>
      <c r="G41" s="20" t="s">
        <v>24</v>
      </c>
      <c r="I41" s="21">
        <f>+I$3</f>
        <v>2003</v>
      </c>
      <c r="J41" s="21">
        <f>+J$3</f>
        <v>2004</v>
      </c>
      <c r="K41" s="21">
        <f>+K$3</f>
        <v>2005</v>
      </c>
      <c r="L41" s="21">
        <f>+L$3</f>
        <v>2006</v>
      </c>
      <c r="M41" s="21">
        <f>+M$3</f>
        <v>2007</v>
      </c>
    </row>
    <row r="42" spans="1:13" ht="7.5" customHeight="1">
      <c r="A42" s="22"/>
      <c r="I42" s="58"/>
      <c r="J42" s="58"/>
      <c r="K42" s="58"/>
      <c r="L42" s="58"/>
      <c r="M42" s="58"/>
    </row>
    <row r="43" spans="1:13" ht="12.75">
      <c r="A43" s="22">
        <v>1</v>
      </c>
      <c r="B43" s="125"/>
      <c r="C43" s="125"/>
      <c r="D43" s="125"/>
      <c r="E43" s="125"/>
      <c r="I43" s="58"/>
      <c r="J43" s="58"/>
      <c r="K43" s="58"/>
      <c r="L43" s="58"/>
      <c r="M43" s="58"/>
    </row>
    <row r="44" spans="1:13" ht="12.75">
      <c r="A44" s="22">
        <v>2</v>
      </c>
      <c r="B44" s="125"/>
      <c r="C44" s="125"/>
      <c r="D44" s="125"/>
      <c r="E44" s="125"/>
      <c r="I44" s="58"/>
      <c r="J44" s="58"/>
      <c r="K44" s="58"/>
      <c r="L44" s="58"/>
      <c r="M44" s="58"/>
    </row>
    <row r="45" spans="1:13" ht="7.5" customHeight="1">
      <c r="A45" s="22"/>
      <c r="I45" s="58"/>
      <c r="J45" s="58"/>
      <c r="K45" s="58"/>
      <c r="L45" s="58"/>
      <c r="M45" s="58"/>
    </row>
    <row r="46" spans="1:13" ht="12.75">
      <c r="A46" s="22"/>
      <c r="I46" s="26">
        <f>+SUM(I43:I45)</f>
        <v>0</v>
      </c>
      <c r="J46" s="26">
        <f>+SUM(J43:J45)</f>
        <v>0</v>
      </c>
      <c r="K46" s="26">
        <f>+SUM(K43:K45)</f>
        <v>0</v>
      </c>
      <c r="L46" s="26">
        <f>+SUM(L43:L45)</f>
        <v>0</v>
      </c>
      <c r="M46" s="26">
        <f>+SUM(M43:M45)</f>
        <v>0</v>
      </c>
    </row>
    <row r="47" spans="9:13" ht="12.75">
      <c r="I47" s="25"/>
      <c r="J47" s="25"/>
      <c r="K47" s="25"/>
      <c r="L47" s="25"/>
      <c r="M47" s="25"/>
    </row>
    <row r="48" spans="1:13" ht="15.75">
      <c r="A48" s="29"/>
      <c r="B48" s="30" t="s">
        <v>27</v>
      </c>
      <c r="C48" s="31"/>
      <c r="D48" s="32"/>
      <c r="E48" s="32"/>
      <c r="F48" s="32"/>
      <c r="G48" s="29"/>
      <c r="H48" s="32"/>
      <c r="I48" s="33">
        <f>+I20+I37+I46</f>
        <v>79.69999999999999</v>
      </c>
      <c r="J48" s="33">
        <f>+J20+J37+J46</f>
        <v>55.35</v>
      </c>
      <c r="K48" s="33">
        <f>+K20+K37+K46</f>
        <v>43.35</v>
      </c>
      <c r="L48" s="33">
        <f>+L20+L37+L46</f>
        <v>31.9</v>
      </c>
      <c r="M48" s="33">
        <f>+M20+M37+M46</f>
        <v>6.4</v>
      </c>
    </row>
  </sheetData>
  <sheetProtection/>
  <mergeCells count="2">
    <mergeCell ref="B43:E43"/>
    <mergeCell ref="B44:E4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245</v>
      </c>
      <c r="C5" s="18" t="s">
        <v>151</v>
      </c>
      <c r="D5" s="18" t="s">
        <v>136</v>
      </c>
      <c r="E5" s="34" t="s">
        <v>57</v>
      </c>
      <c r="F5" s="35">
        <v>4.15</v>
      </c>
      <c r="G5" s="12">
        <v>2007</v>
      </c>
      <c r="I5" s="37">
        <f aca="true" t="shared" si="0" ref="I5:M14">+IF($G5&gt;=I$3,$F5,0)</f>
        <v>4.15</v>
      </c>
      <c r="J5" s="37">
        <f t="shared" si="0"/>
        <v>4.15</v>
      </c>
      <c r="K5" s="37">
        <f t="shared" si="0"/>
        <v>4.15</v>
      </c>
      <c r="L5" s="37">
        <f t="shared" si="0"/>
        <v>4.15</v>
      </c>
      <c r="M5" s="37">
        <f t="shared" si="0"/>
        <v>4.15</v>
      </c>
    </row>
    <row r="6" spans="1:13" ht="12.75">
      <c r="A6" s="22">
        <v>2</v>
      </c>
      <c r="B6" s="36" t="s">
        <v>294</v>
      </c>
      <c r="C6" s="18" t="s">
        <v>195</v>
      </c>
      <c r="D6" s="18" t="s">
        <v>66</v>
      </c>
      <c r="E6" s="34" t="s">
        <v>57</v>
      </c>
      <c r="F6" s="35">
        <v>1.1</v>
      </c>
      <c r="G6" s="12">
        <v>2007</v>
      </c>
      <c r="I6" s="38">
        <f t="shared" si="0"/>
        <v>1.1</v>
      </c>
      <c r="J6" s="38">
        <f t="shared" si="0"/>
        <v>1.1</v>
      </c>
      <c r="K6" s="38">
        <f t="shared" si="0"/>
        <v>1.1</v>
      </c>
      <c r="L6" s="38">
        <f t="shared" si="0"/>
        <v>1.1</v>
      </c>
      <c r="M6" s="38">
        <f t="shared" si="0"/>
        <v>1.1</v>
      </c>
    </row>
    <row r="7" spans="1:13" ht="12.75">
      <c r="A7" s="22">
        <v>3</v>
      </c>
      <c r="B7" s="36" t="s">
        <v>118</v>
      </c>
      <c r="C7" s="18" t="s">
        <v>55</v>
      </c>
      <c r="D7" s="18" t="s">
        <v>115</v>
      </c>
      <c r="E7" s="34" t="s">
        <v>57</v>
      </c>
      <c r="F7" s="35">
        <v>11.5</v>
      </c>
      <c r="G7" s="12">
        <v>2006</v>
      </c>
      <c r="I7" s="38">
        <f t="shared" si="0"/>
        <v>11.5</v>
      </c>
      <c r="J7" s="38">
        <f t="shared" si="0"/>
        <v>11.5</v>
      </c>
      <c r="K7" s="38">
        <f t="shared" si="0"/>
        <v>11.5</v>
      </c>
      <c r="L7" s="38">
        <f t="shared" si="0"/>
        <v>11.5</v>
      </c>
      <c r="M7" s="38">
        <f t="shared" si="0"/>
        <v>0</v>
      </c>
    </row>
    <row r="8" spans="1:13" ht="12.75">
      <c r="A8" s="22">
        <v>4</v>
      </c>
      <c r="B8" s="36" t="s">
        <v>93</v>
      </c>
      <c r="C8" s="18" t="s">
        <v>196</v>
      </c>
      <c r="D8" s="18" t="s">
        <v>94</v>
      </c>
      <c r="E8" s="34" t="s">
        <v>57</v>
      </c>
      <c r="F8" s="35">
        <v>7</v>
      </c>
      <c r="G8" s="12">
        <v>2006</v>
      </c>
      <c r="I8" s="38">
        <f t="shared" si="0"/>
        <v>7</v>
      </c>
      <c r="J8" s="38">
        <f t="shared" si="0"/>
        <v>7</v>
      </c>
      <c r="K8" s="38">
        <f t="shared" si="0"/>
        <v>7</v>
      </c>
      <c r="L8" s="38">
        <f t="shared" si="0"/>
        <v>7</v>
      </c>
      <c r="M8" s="38">
        <f t="shared" si="0"/>
        <v>0</v>
      </c>
    </row>
    <row r="9" spans="1:13" ht="12.75">
      <c r="A9" s="22">
        <v>5</v>
      </c>
      <c r="B9" s="36" t="s">
        <v>142</v>
      </c>
      <c r="C9" s="18" t="s">
        <v>148</v>
      </c>
      <c r="D9" s="18" t="s">
        <v>116</v>
      </c>
      <c r="E9" s="34" t="s">
        <v>57</v>
      </c>
      <c r="F9" s="35">
        <v>4.5</v>
      </c>
      <c r="G9" s="12">
        <v>2006</v>
      </c>
      <c r="I9" s="38">
        <f t="shared" si="0"/>
        <v>4.5</v>
      </c>
      <c r="J9" s="38">
        <f t="shared" si="0"/>
        <v>4.5</v>
      </c>
      <c r="K9" s="38">
        <f t="shared" si="0"/>
        <v>4.5</v>
      </c>
      <c r="L9" s="38">
        <f t="shared" si="0"/>
        <v>4.5</v>
      </c>
      <c r="M9" s="38">
        <f t="shared" si="0"/>
        <v>0</v>
      </c>
    </row>
    <row r="10" spans="1:13" ht="12.75">
      <c r="A10" s="22">
        <v>6</v>
      </c>
      <c r="B10" s="36" t="s">
        <v>185</v>
      </c>
      <c r="C10" s="18" t="s">
        <v>148</v>
      </c>
      <c r="D10" s="18" t="s">
        <v>74</v>
      </c>
      <c r="E10" s="34" t="s">
        <v>57</v>
      </c>
      <c r="F10" s="35">
        <v>4</v>
      </c>
      <c r="G10" s="12">
        <v>2006</v>
      </c>
      <c r="I10" s="38">
        <f t="shared" si="0"/>
        <v>4</v>
      </c>
      <c r="J10" s="38">
        <f t="shared" si="0"/>
        <v>4</v>
      </c>
      <c r="K10" s="38">
        <f t="shared" si="0"/>
        <v>4</v>
      </c>
      <c r="L10" s="38">
        <f t="shared" si="0"/>
        <v>4</v>
      </c>
      <c r="M10" s="38">
        <f t="shared" si="0"/>
        <v>0</v>
      </c>
    </row>
    <row r="11" spans="1:13" ht="12.75">
      <c r="A11" s="22">
        <v>7</v>
      </c>
      <c r="B11" s="36" t="s">
        <v>107</v>
      </c>
      <c r="C11" s="18" t="s">
        <v>196</v>
      </c>
      <c r="D11" s="18" t="s">
        <v>59</v>
      </c>
      <c r="E11" s="34" t="s">
        <v>57</v>
      </c>
      <c r="F11" s="35">
        <v>6.25</v>
      </c>
      <c r="G11" s="12">
        <v>2005</v>
      </c>
      <c r="I11" s="38">
        <f t="shared" si="0"/>
        <v>6.25</v>
      </c>
      <c r="J11" s="38">
        <f t="shared" si="0"/>
        <v>6.25</v>
      </c>
      <c r="K11" s="38">
        <f t="shared" si="0"/>
        <v>6.25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166</v>
      </c>
      <c r="C12" s="18" t="s">
        <v>148</v>
      </c>
      <c r="D12" s="18" t="s">
        <v>98</v>
      </c>
      <c r="E12" s="34" t="s">
        <v>57</v>
      </c>
      <c r="F12" s="35">
        <v>8</v>
      </c>
      <c r="G12" s="12">
        <v>2004</v>
      </c>
      <c r="I12" s="38">
        <f t="shared" si="0"/>
        <v>8</v>
      </c>
      <c r="J12" s="38">
        <f t="shared" si="0"/>
        <v>8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257</v>
      </c>
      <c r="C13" s="18" t="s">
        <v>173</v>
      </c>
      <c r="D13" s="18" t="s">
        <v>68</v>
      </c>
      <c r="E13" s="34" t="s">
        <v>57</v>
      </c>
      <c r="F13" s="35">
        <v>7</v>
      </c>
      <c r="G13" s="12">
        <v>2004</v>
      </c>
      <c r="I13" s="38">
        <f t="shared" si="0"/>
        <v>7</v>
      </c>
      <c r="J13" s="38">
        <f t="shared" si="0"/>
        <v>7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324</v>
      </c>
      <c r="C14" s="18" t="s">
        <v>76</v>
      </c>
      <c r="D14" s="18" t="s">
        <v>59</v>
      </c>
      <c r="E14" s="34" t="s">
        <v>57</v>
      </c>
      <c r="F14" s="35">
        <v>1.1</v>
      </c>
      <c r="G14" s="12">
        <v>2003</v>
      </c>
      <c r="I14" s="38">
        <f t="shared" si="0"/>
        <v>1.1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332</v>
      </c>
      <c r="C15" s="18" t="s">
        <v>76</v>
      </c>
      <c r="D15" s="18" t="s">
        <v>105</v>
      </c>
      <c r="E15" s="34" t="s">
        <v>57</v>
      </c>
      <c r="F15" s="35">
        <v>1.1</v>
      </c>
      <c r="G15" s="12">
        <v>2003</v>
      </c>
      <c r="I15" s="38">
        <f aca="true" t="shared" si="1" ref="I15:M18">+IF($G15&gt;=I$3,$F15,0)</f>
        <v>1.1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374</v>
      </c>
      <c r="C16" s="18" t="s">
        <v>173</v>
      </c>
      <c r="D16" s="18" t="s">
        <v>105</v>
      </c>
      <c r="E16" s="34" t="s">
        <v>57</v>
      </c>
      <c r="F16" s="35">
        <v>1.1</v>
      </c>
      <c r="G16" s="13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358</v>
      </c>
      <c r="C17" s="18" t="s">
        <v>76</v>
      </c>
      <c r="D17" s="18" t="s">
        <v>114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/>
      <c r="D18" s="18"/>
      <c r="E18" s="34"/>
      <c r="F18" s="35"/>
      <c r="G18" s="13"/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4:13" ht="12.75">
      <c r="D20" s="18"/>
      <c r="E20" s="18"/>
      <c r="F20" s="23"/>
      <c r="G20" s="24"/>
      <c r="I20" s="39">
        <f>+SUM(I5:I18)</f>
        <v>57.900000000000006</v>
      </c>
      <c r="J20" s="39">
        <f>+SUM(J5:J18)</f>
        <v>53.5</v>
      </c>
      <c r="K20" s="39">
        <f>+SUM(K5:K18)</f>
        <v>38.5</v>
      </c>
      <c r="L20" s="39">
        <f>+SUM(L5:L18)</f>
        <v>32.25</v>
      </c>
      <c r="M20" s="39">
        <f>+SUM(M5:M18)</f>
        <v>5.25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327</v>
      </c>
      <c r="C26" s="18" t="s">
        <v>173</v>
      </c>
      <c r="D26" s="18" t="s">
        <v>94</v>
      </c>
      <c r="E26" s="34">
        <v>2003</v>
      </c>
      <c r="F26" s="35">
        <v>1.1</v>
      </c>
      <c r="G26" s="13">
        <v>2003</v>
      </c>
      <c r="I26" s="37">
        <f>+CEILING(IF($I$24=E26,F26,IF($I$24&lt;=G26,F26*0.3,0)),0.05)</f>
        <v>1.1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/>
      <c r="D27" s="18"/>
      <c r="E27" s="34"/>
      <c r="F27" s="35"/>
      <c r="G27" s="12"/>
      <c r="I27" s="38">
        <f>+CEILING(IF($I$24=E27,F27,IF($I$24&lt;=G27,F27*0.3,0)),0.05)</f>
        <v>0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/>
      <c r="D28" s="18"/>
      <c r="E28" s="34"/>
      <c r="F28" s="35"/>
      <c r="G28" s="12"/>
      <c r="I28" s="38">
        <f>+CEILING(IF($I$24=E28,F28,IF($I$24&lt;=G28,F28*0.3,0)),0.05)</f>
        <v>0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/>
      <c r="C29" s="34"/>
      <c r="D29" s="34"/>
      <c r="E29" s="34"/>
      <c r="F29" s="35"/>
      <c r="G29" s="12"/>
      <c r="I29" s="38">
        <f>+CEILING(IF($I$24=E29,F29,IF($I$24&lt;=G29,F29*0.3,0)),0.05)</f>
        <v>0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B30" s="36"/>
      <c r="D30" s="18"/>
      <c r="E30" s="34"/>
      <c r="F30" s="35"/>
      <c r="G30" s="12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1.1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58"/>
      <c r="J37" s="58"/>
      <c r="K37" s="58"/>
      <c r="L37" s="58"/>
      <c r="M37" s="58"/>
    </row>
    <row r="38" spans="1:13" ht="12.75">
      <c r="A38" s="22">
        <v>1</v>
      </c>
      <c r="B38" s="125"/>
      <c r="C38" s="125"/>
      <c r="D38" s="125"/>
      <c r="E38" s="125"/>
      <c r="I38" s="58"/>
      <c r="J38" s="58"/>
      <c r="K38" s="58"/>
      <c r="L38" s="58"/>
      <c r="M38" s="58"/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59.00000000000001</v>
      </c>
      <c r="J43" s="33">
        <f>+J20+J32+J41</f>
        <v>53.5</v>
      </c>
      <c r="K43" s="33">
        <f>+K20+K32+K41</f>
        <v>38.5</v>
      </c>
      <c r="L43" s="33">
        <f>+L20+L32+L41</f>
        <v>32.25</v>
      </c>
      <c r="M43" s="33">
        <f>+M20+M32+M41</f>
        <v>5.25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260</v>
      </c>
      <c r="C5" s="18" t="s">
        <v>195</v>
      </c>
      <c r="D5" s="18" t="s">
        <v>66</v>
      </c>
      <c r="E5" s="34" t="s">
        <v>57</v>
      </c>
      <c r="F5" s="35">
        <v>3.2</v>
      </c>
      <c r="G5" s="12">
        <v>2007</v>
      </c>
      <c r="I5" s="37">
        <f aca="true" t="shared" si="0" ref="I5:M14">+IF($G5&gt;=I$3,$F5,0)</f>
        <v>3.2</v>
      </c>
      <c r="J5" s="37">
        <f t="shared" si="0"/>
        <v>3.2</v>
      </c>
      <c r="K5" s="37">
        <f t="shared" si="0"/>
        <v>3.2</v>
      </c>
      <c r="L5" s="37">
        <f t="shared" si="0"/>
        <v>3.2</v>
      </c>
      <c r="M5" s="37">
        <f t="shared" si="0"/>
        <v>3.2</v>
      </c>
    </row>
    <row r="6" spans="1:13" ht="12.75">
      <c r="A6" s="22">
        <v>2</v>
      </c>
      <c r="B6" s="36" t="s">
        <v>241</v>
      </c>
      <c r="C6" s="18" t="s">
        <v>173</v>
      </c>
      <c r="D6" s="18" t="s">
        <v>56</v>
      </c>
      <c r="E6" s="34" t="s">
        <v>57</v>
      </c>
      <c r="F6" s="35">
        <v>2.75</v>
      </c>
      <c r="G6" s="12">
        <v>2007</v>
      </c>
      <c r="I6" s="38">
        <f t="shared" si="0"/>
        <v>2.75</v>
      </c>
      <c r="J6" s="38">
        <f t="shared" si="0"/>
        <v>2.75</v>
      </c>
      <c r="K6" s="38">
        <f t="shared" si="0"/>
        <v>2.75</v>
      </c>
      <c r="L6" s="38">
        <f t="shared" si="0"/>
        <v>2.75</v>
      </c>
      <c r="M6" s="38">
        <f t="shared" si="0"/>
        <v>2.75</v>
      </c>
    </row>
    <row r="7" spans="1:13" ht="12.75">
      <c r="A7" s="22">
        <v>3</v>
      </c>
      <c r="B7" s="36" t="s">
        <v>297</v>
      </c>
      <c r="C7" s="18" t="s">
        <v>55</v>
      </c>
      <c r="D7" s="18" t="s">
        <v>105</v>
      </c>
      <c r="E7" s="34" t="s">
        <v>57</v>
      </c>
      <c r="F7" s="35">
        <v>1.1</v>
      </c>
      <c r="G7" s="12">
        <v>2007</v>
      </c>
      <c r="I7" s="38">
        <f t="shared" si="0"/>
        <v>1.1</v>
      </c>
      <c r="J7" s="38">
        <f t="shared" si="0"/>
        <v>1.1</v>
      </c>
      <c r="K7" s="38">
        <f t="shared" si="0"/>
        <v>1.1</v>
      </c>
      <c r="L7" s="38">
        <f t="shared" si="0"/>
        <v>1.1</v>
      </c>
      <c r="M7" s="38">
        <f t="shared" si="0"/>
        <v>1.1</v>
      </c>
    </row>
    <row r="8" spans="1:13" ht="12.75">
      <c r="A8" s="22">
        <v>4</v>
      </c>
      <c r="B8" s="36" t="s">
        <v>88</v>
      </c>
      <c r="C8" s="18" t="s">
        <v>195</v>
      </c>
      <c r="D8" s="18" t="s">
        <v>87</v>
      </c>
      <c r="E8" s="34" t="s">
        <v>57</v>
      </c>
      <c r="F8" s="35">
        <v>9.5</v>
      </c>
      <c r="G8" s="12">
        <v>2006</v>
      </c>
      <c r="I8" s="38">
        <f t="shared" si="0"/>
        <v>9.5</v>
      </c>
      <c r="J8" s="38">
        <f t="shared" si="0"/>
        <v>9.5</v>
      </c>
      <c r="K8" s="38">
        <f t="shared" si="0"/>
        <v>9.5</v>
      </c>
      <c r="L8" s="38">
        <f t="shared" si="0"/>
        <v>9.5</v>
      </c>
      <c r="M8" s="38">
        <f t="shared" si="0"/>
        <v>0</v>
      </c>
    </row>
    <row r="9" spans="1:13" ht="12.75">
      <c r="A9" s="22">
        <v>5</v>
      </c>
      <c r="B9" s="36" t="s">
        <v>75</v>
      </c>
      <c r="C9" s="18" t="s">
        <v>76</v>
      </c>
      <c r="D9" s="18" t="s">
        <v>109</v>
      </c>
      <c r="E9" s="34" t="s">
        <v>57</v>
      </c>
      <c r="F9" s="35">
        <v>8.5</v>
      </c>
      <c r="G9" s="12">
        <v>2006</v>
      </c>
      <c r="I9" s="38">
        <f t="shared" si="0"/>
        <v>8.5</v>
      </c>
      <c r="J9" s="38">
        <f t="shared" si="0"/>
        <v>8.5</v>
      </c>
      <c r="K9" s="38">
        <f t="shared" si="0"/>
        <v>8.5</v>
      </c>
      <c r="L9" s="38">
        <f t="shared" si="0"/>
        <v>8.5</v>
      </c>
      <c r="M9" s="38">
        <f t="shared" si="0"/>
        <v>0</v>
      </c>
    </row>
    <row r="10" spans="1:13" ht="12.75">
      <c r="A10" s="22">
        <v>6</v>
      </c>
      <c r="B10" s="36" t="s">
        <v>153</v>
      </c>
      <c r="C10" s="18" t="s">
        <v>148</v>
      </c>
      <c r="D10" s="18" t="s">
        <v>121</v>
      </c>
      <c r="E10" s="34" t="s">
        <v>57</v>
      </c>
      <c r="F10" s="35">
        <v>5.5</v>
      </c>
      <c r="G10" s="12">
        <v>2006</v>
      </c>
      <c r="I10" s="38">
        <f t="shared" si="0"/>
        <v>5.5</v>
      </c>
      <c r="J10" s="38">
        <f t="shared" si="0"/>
        <v>5.5</v>
      </c>
      <c r="K10" s="38">
        <f t="shared" si="0"/>
        <v>5.5</v>
      </c>
      <c r="L10" s="38">
        <f t="shared" si="0"/>
        <v>5.5</v>
      </c>
      <c r="M10" s="38">
        <f t="shared" si="0"/>
        <v>0</v>
      </c>
    </row>
    <row r="11" spans="1:13" ht="12.75">
      <c r="A11" s="22">
        <v>7</v>
      </c>
      <c r="B11" s="36" t="s">
        <v>152</v>
      </c>
      <c r="C11" s="18" t="s">
        <v>196</v>
      </c>
      <c r="D11" s="18" t="s">
        <v>77</v>
      </c>
      <c r="E11" s="34" t="s">
        <v>57</v>
      </c>
      <c r="F11" s="35">
        <v>4.9</v>
      </c>
      <c r="G11" s="12">
        <v>2006</v>
      </c>
      <c r="I11" s="38">
        <f t="shared" si="0"/>
        <v>4.9</v>
      </c>
      <c r="J11" s="38">
        <f t="shared" si="0"/>
        <v>4.9</v>
      </c>
      <c r="K11" s="38">
        <f t="shared" si="0"/>
        <v>4.9</v>
      </c>
      <c r="L11" s="38">
        <f t="shared" si="0"/>
        <v>4.9</v>
      </c>
      <c r="M11" s="38">
        <f t="shared" si="0"/>
        <v>0</v>
      </c>
    </row>
    <row r="12" spans="1:13" ht="12.75">
      <c r="A12" s="22">
        <v>8</v>
      </c>
      <c r="B12" s="36" t="s">
        <v>210</v>
      </c>
      <c r="C12" s="18" t="s">
        <v>157</v>
      </c>
      <c r="D12" s="18" t="s">
        <v>109</v>
      </c>
      <c r="E12" s="34" t="s">
        <v>57</v>
      </c>
      <c r="F12" s="35">
        <v>2.75</v>
      </c>
      <c r="G12" s="12">
        <v>2006</v>
      </c>
      <c r="I12" s="38">
        <f t="shared" si="0"/>
        <v>2.75</v>
      </c>
      <c r="J12" s="38">
        <f t="shared" si="0"/>
        <v>2.75</v>
      </c>
      <c r="K12" s="38">
        <f t="shared" si="0"/>
        <v>2.75</v>
      </c>
      <c r="L12" s="38">
        <f t="shared" si="0"/>
        <v>2.75</v>
      </c>
      <c r="M12" s="38">
        <f t="shared" si="0"/>
        <v>0</v>
      </c>
    </row>
    <row r="13" spans="1:13" ht="12.75">
      <c r="A13" s="22">
        <v>9</v>
      </c>
      <c r="B13" s="36" t="s">
        <v>131</v>
      </c>
      <c r="C13" s="18" t="s">
        <v>65</v>
      </c>
      <c r="D13" s="18" t="s">
        <v>114</v>
      </c>
      <c r="E13" s="34" t="s">
        <v>57</v>
      </c>
      <c r="F13" s="35">
        <v>2.6</v>
      </c>
      <c r="G13" s="12">
        <v>2006</v>
      </c>
      <c r="I13" s="38">
        <f t="shared" si="0"/>
        <v>2.6</v>
      </c>
      <c r="J13" s="38">
        <f t="shared" si="0"/>
        <v>2.6</v>
      </c>
      <c r="K13" s="38">
        <f t="shared" si="0"/>
        <v>2.6</v>
      </c>
      <c r="L13" s="38">
        <f t="shared" si="0"/>
        <v>2.6</v>
      </c>
      <c r="M13" s="38">
        <f t="shared" si="0"/>
        <v>0</v>
      </c>
    </row>
    <row r="14" spans="1:13" ht="12.75">
      <c r="A14" s="22">
        <v>10</v>
      </c>
      <c r="B14" s="36" t="s">
        <v>237</v>
      </c>
      <c r="C14" s="18" t="s">
        <v>173</v>
      </c>
      <c r="D14" s="18" t="s">
        <v>61</v>
      </c>
      <c r="E14" s="34" t="s">
        <v>57</v>
      </c>
      <c r="F14" s="35">
        <v>10.2</v>
      </c>
      <c r="G14" s="12">
        <v>2005</v>
      </c>
      <c r="I14" s="38">
        <f t="shared" si="0"/>
        <v>10.2</v>
      </c>
      <c r="J14" s="38">
        <f t="shared" si="0"/>
        <v>10.2</v>
      </c>
      <c r="K14" s="38">
        <f t="shared" si="0"/>
        <v>10.2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172</v>
      </c>
      <c r="C15" s="18" t="s">
        <v>196</v>
      </c>
      <c r="D15" s="18" t="s">
        <v>105</v>
      </c>
      <c r="E15" s="34" t="s">
        <v>57</v>
      </c>
      <c r="F15" s="35">
        <v>2.5</v>
      </c>
      <c r="G15" s="12">
        <v>2003</v>
      </c>
      <c r="I15" s="38">
        <f aca="true" t="shared" si="1" ref="I15:M18">+IF($G15&gt;=I$3,$F15,0)</f>
        <v>2.5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338</v>
      </c>
      <c r="C16" s="18" t="s">
        <v>173</v>
      </c>
      <c r="D16" s="18" t="s">
        <v>59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328</v>
      </c>
      <c r="C17" s="18" t="s">
        <v>148</v>
      </c>
      <c r="D17" s="18" t="s">
        <v>92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386</v>
      </c>
      <c r="C18" s="18" t="s">
        <v>55</v>
      </c>
      <c r="D18" s="18" t="s">
        <v>79</v>
      </c>
      <c r="E18" s="34" t="s">
        <v>57</v>
      </c>
      <c r="F18" s="35">
        <v>1.1</v>
      </c>
      <c r="G18" s="12">
        <v>2003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56.800000000000004</v>
      </c>
      <c r="J20" s="39">
        <f>+SUM(J5:J18)</f>
        <v>51</v>
      </c>
      <c r="K20" s="39">
        <f>+SUM(K5:K18)</f>
        <v>51</v>
      </c>
      <c r="L20" s="39">
        <f>+SUM(L5:L18)</f>
        <v>40.800000000000004</v>
      </c>
      <c r="M20" s="39">
        <f>+SUM(M5:M18)</f>
        <v>7.050000000000001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199</v>
      </c>
      <c r="C26" s="18" t="s">
        <v>65</v>
      </c>
      <c r="D26" s="18" t="s">
        <v>94</v>
      </c>
      <c r="E26" s="34">
        <v>2002</v>
      </c>
      <c r="F26" s="35">
        <v>1.15</v>
      </c>
      <c r="G26" s="12">
        <v>2006</v>
      </c>
      <c r="I26" s="37">
        <f>+CEILING(IF($I$24=E26,F26,IF($I$24&lt;=G26,F26*0.3,0)),0.05)</f>
        <v>0.35000000000000003</v>
      </c>
      <c r="J26" s="37">
        <f>+CEILING(IF($J$24&lt;=G26,F26*0.3,0),0.05)</f>
        <v>0.35000000000000003</v>
      </c>
      <c r="K26" s="37">
        <f>+CEILING(IF($K$24&lt;=G26,F26*0.3,0),0.05)</f>
        <v>0.35000000000000003</v>
      </c>
      <c r="L26" s="37">
        <f>+CEILING(IF($L$24&lt;=G26,F26*0.3,0),0.05)</f>
        <v>0.35000000000000003</v>
      </c>
      <c r="M26" s="37">
        <f>CEILING(IF($M$24&lt;=G26,F26*0.3,0),0.05)</f>
        <v>0</v>
      </c>
    </row>
    <row r="27" spans="1:13" ht="12.75">
      <c r="A27" s="22">
        <v>2</v>
      </c>
      <c r="B27" s="36" t="s">
        <v>141</v>
      </c>
      <c r="C27" s="18" t="s">
        <v>76</v>
      </c>
      <c r="D27" s="18" t="s">
        <v>103</v>
      </c>
      <c r="E27" s="34">
        <v>2002</v>
      </c>
      <c r="F27" s="35">
        <v>5.75</v>
      </c>
      <c r="G27" s="12">
        <v>2004</v>
      </c>
      <c r="I27" s="38">
        <f>+CEILING(IF($I$24=E27,F27,IF($I$24&lt;=G27,F27*0.3,0)),0.05)</f>
        <v>1.75</v>
      </c>
      <c r="J27" s="38">
        <f>+CEILING(IF($J$24&lt;=G27,F27*0.3,0),0.05)</f>
        <v>1.75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 t="s">
        <v>117</v>
      </c>
      <c r="C28" s="18" t="s">
        <v>157</v>
      </c>
      <c r="D28" s="18" t="s">
        <v>105</v>
      </c>
      <c r="E28" s="34">
        <v>2003</v>
      </c>
      <c r="F28" s="35">
        <v>4.5</v>
      </c>
      <c r="G28" s="13">
        <v>2003</v>
      </c>
      <c r="I28" s="38">
        <f>+CEILING(IF($I$24=E28,F28,IF($I$24&lt;=G28,F28*0.3,0)),0.05)</f>
        <v>4.5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 t="s">
        <v>366</v>
      </c>
      <c r="C29" s="18" t="s">
        <v>196</v>
      </c>
      <c r="D29" s="18" t="s">
        <v>56</v>
      </c>
      <c r="E29" s="34">
        <v>2003</v>
      </c>
      <c r="F29" s="35">
        <v>1.1</v>
      </c>
      <c r="G29" s="12">
        <v>2003</v>
      </c>
      <c r="I29" s="38">
        <f>+CEILING(IF($I$24=E29,F29,IF($I$24&lt;=G29,F29*0.3,0)),0.05)</f>
        <v>1.1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D30" s="18"/>
      <c r="E30" s="18"/>
      <c r="G30" s="18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7.699999999999999</v>
      </c>
      <c r="J32" s="39">
        <f>+SUM(J26:J31)</f>
        <v>2.1</v>
      </c>
      <c r="K32" s="39">
        <f>+SUM(K26:K31)</f>
        <v>0.35000000000000003</v>
      </c>
      <c r="L32" s="39">
        <f>+SUM(L26:L31)</f>
        <v>0.35000000000000003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26"/>
      <c r="J37" s="26"/>
      <c r="K37" s="26"/>
      <c r="L37" s="26"/>
      <c r="M37" s="26"/>
    </row>
    <row r="38" spans="1:13" ht="12.75">
      <c r="A38" s="22">
        <v>1</v>
      </c>
      <c r="B38" s="125"/>
      <c r="C38" s="125"/>
      <c r="D38" s="125"/>
      <c r="E38" s="125"/>
      <c r="F38" s="40"/>
      <c r="G38" s="18"/>
      <c r="I38" s="58">
        <f>+F38</f>
        <v>0</v>
      </c>
      <c r="J38" s="58">
        <v>0</v>
      </c>
      <c r="K38" s="58">
        <v>0</v>
      </c>
      <c r="L38" s="58">
        <v>0</v>
      </c>
      <c r="M38" s="58">
        <v>0</v>
      </c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0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64.5</v>
      </c>
      <c r="J43" s="33">
        <f>+J20+J32+J41</f>
        <v>53.1</v>
      </c>
      <c r="K43" s="33">
        <f>+K20+K32+K41</f>
        <v>51.35</v>
      </c>
      <c r="L43" s="33">
        <f>+L20+L32+L41</f>
        <v>41.150000000000006</v>
      </c>
      <c r="M43" s="33">
        <f>+M20+M32+M41</f>
        <v>7.050000000000001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250</v>
      </c>
      <c r="C5" s="18" t="s">
        <v>173</v>
      </c>
      <c r="D5" s="18" t="s">
        <v>69</v>
      </c>
      <c r="E5" s="34" t="s">
        <v>57</v>
      </c>
      <c r="F5" s="35">
        <v>9.4</v>
      </c>
      <c r="G5" s="12">
        <v>2007</v>
      </c>
      <c r="I5" s="37">
        <f aca="true" t="shared" si="0" ref="I5:M18">+IF($G5&gt;=I$3,$F5,0)</f>
        <v>9.4</v>
      </c>
      <c r="J5" s="37">
        <f t="shared" si="0"/>
        <v>9.4</v>
      </c>
      <c r="K5" s="37">
        <f t="shared" si="0"/>
        <v>9.4</v>
      </c>
      <c r="L5" s="37">
        <f t="shared" si="0"/>
        <v>9.4</v>
      </c>
      <c r="M5" s="37">
        <f t="shared" si="0"/>
        <v>9.4</v>
      </c>
    </row>
    <row r="6" spans="1:13" ht="12.75">
      <c r="A6" s="22">
        <v>2</v>
      </c>
      <c r="B6" s="36" t="s">
        <v>233</v>
      </c>
      <c r="C6" s="18" t="s">
        <v>151</v>
      </c>
      <c r="D6" s="18" t="s">
        <v>87</v>
      </c>
      <c r="E6" s="34" t="s">
        <v>57</v>
      </c>
      <c r="F6" s="35">
        <v>3.7</v>
      </c>
      <c r="G6" s="12">
        <v>2007</v>
      </c>
      <c r="I6" s="38">
        <f t="shared" si="0"/>
        <v>3.7</v>
      </c>
      <c r="J6" s="38">
        <f t="shared" si="0"/>
        <v>3.7</v>
      </c>
      <c r="K6" s="38">
        <f t="shared" si="0"/>
        <v>3.7</v>
      </c>
      <c r="L6" s="38">
        <f t="shared" si="0"/>
        <v>3.7</v>
      </c>
      <c r="M6" s="38">
        <f t="shared" si="0"/>
        <v>3.7</v>
      </c>
    </row>
    <row r="7" spans="1:13" ht="12.75">
      <c r="A7" s="22">
        <v>3</v>
      </c>
      <c r="B7" s="36" t="s">
        <v>236</v>
      </c>
      <c r="C7" s="18" t="s">
        <v>195</v>
      </c>
      <c r="D7" s="18" t="s">
        <v>94</v>
      </c>
      <c r="E7" s="34" t="s">
        <v>57</v>
      </c>
      <c r="F7" s="35">
        <v>3.2</v>
      </c>
      <c r="G7" s="12">
        <v>2007</v>
      </c>
      <c r="I7" s="38">
        <f t="shared" si="0"/>
        <v>3.2</v>
      </c>
      <c r="J7" s="38">
        <f t="shared" si="0"/>
        <v>3.2</v>
      </c>
      <c r="K7" s="38">
        <f t="shared" si="0"/>
        <v>3.2</v>
      </c>
      <c r="L7" s="38">
        <f t="shared" si="0"/>
        <v>3.2</v>
      </c>
      <c r="M7" s="38">
        <f t="shared" si="0"/>
        <v>3.2</v>
      </c>
    </row>
    <row r="8" spans="1:13" ht="12.75">
      <c r="A8" s="22">
        <v>4</v>
      </c>
      <c r="B8" s="36" t="s">
        <v>279</v>
      </c>
      <c r="C8" s="18" t="s">
        <v>148</v>
      </c>
      <c r="D8" s="18" t="s">
        <v>81</v>
      </c>
      <c r="E8" s="34" t="s">
        <v>57</v>
      </c>
      <c r="F8" s="35">
        <v>13.15</v>
      </c>
      <c r="G8" s="12">
        <v>2006</v>
      </c>
      <c r="I8" s="38">
        <f t="shared" si="0"/>
        <v>13.15</v>
      </c>
      <c r="J8" s="38">
        <f t="shared" si="0"/>
        <v>13.15</v>
      </c>
      <c r="K8" s="38">
        <f t="shared" si="0"/>
        <v>13.15</v>
      </c>
      <c r="L8" s="38">
        <f t="shared" si="0"/>
        <v>13.15</v>
      </c>
      <c r="M8" s="38">
        <f t="shared" si="0"/>
        <v>0</v>
      </c>
    </row>
    <row r="9" spans="1:13" ht="12.75">
      <c r="A9" s="22">
        <v>5</v>
      </c>
      <c r="B9" s="36" t="s">
        <v>80</v>
      </c>
      <c r="C9" s="18" t="s">
        <v>173</v>
      </c>
      <c r="D9" s="18" t="s">
        <v>68</v>
      </c>
      <c r="E9" s="34" t="s">
        <v>57</v>
      </c>
      <c r="F9" s="35">
        <v>13</v>
      </c>
      <c r="G9" s="12">
        <v>2004</v>
      </c>
      <c r="I9" s="38">
        <f t="shared" si="0"/>
        <v>13</v>
      </c>
      <c r="J9" s="38">
        <f t="shared" si="0"/>
        <v>13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3" ht="12.75">
      <c r="A10" s="22">
        <v>6</v>
      </c>
      <c r="B10" s="36" t="s">
        <v>234</v>
      </c>
      <c r="C10" s="18" t="s">
        <v>148</v>
      </c>
      <c r="D10" s="18" t="s">
        <v>79</v>
      </c>
      <c r="E10" s="34" t="s">
        <v>57</v>
      </c>
      <c r="F10" s="35">
        <v>5.2</v>
      </c>
      <c r="G10" s="12">
        <v>2004</v>
      </c>
      <c r="I10" s="38">
        <f t="shared" si="0"/>
        <v>5.2</v>
      </c>
      <c r="J10" s="38">
        <f t="shared" si="0"/>
        <v>5.2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306</v>
      </c>
      <c r="C11" s="18" t="s">
        <v>195</v>
      </c>
      <c r="D11" s="18" t="s">
        <v>69</v>
      </c>
      <c r="E11" s="34" t="s">
        <v>57</v>
      </c>
      <c r="F11" s="35">
        <v>1.1</v>
      </c>
      <c r="G11" s="12">
        <v>2004</v>
      </c>
      <c r="I11" s="38">
        <f t="shared" si="0"/>
        <v>1.1</v>
      </c>
      <c r="J11" s="38">
        <f t="shared" si="0"/>
        <v>1.1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288</v>
      </c>
      <c r="C12" s="18" t="s">
        <v>196</v>
      </c>
      <c r="D12" s="18" t="s">
        <v>115</v>
      </c>
      <c r="E12" s="34" t="s">
        <v>57</v>
      </c>
      <c r="F12" s="35">
        <v>5.15</v>
      </c>
      <c r="G12" s="12">
        <v>2003</v>
      </c>
      <c r="I12" s="38">
        <f t="shared" si="0"/>
        <v>5.15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357</v>
      </c>
      <c r="C13" s="18" t="s">
        <v>151</v>
      </c>
      <c r="D13" s="18" t="s">
        <v>103</v>
      </c>
      <c r="E13" s="34" t="s">
        <v>57</v>
      </c>
      <c r="F13" s="35">
        <v>1.1</v>
      </c>
      <c r="G13" s="12">
        <v>2003</v>
      </c>
      <c r="I13" s="38">
        <f t="shared" si="0"/>
        <v>1.1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286</v>
      </c>
      <c r="C14" s="18" t="s">
        <v>173</v>
      </c>
      <c r="D14" s="18" t="s">
        <v>66</v>
      </c>
      <c r="E14" s="34" t="s">
        <v>57</v>
      </c>
      <c r="F14" s="35">
        <v>1.1</v>
      </c>
      <c r="G14" s="12">
        <v>2003</v>
      </c>
      <c r="I14" s="38">
        <f t="shared" si="0"/>
        <v>1.1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362</v>
      </c>
      <c r="C15" s="18" t="s">
        <v>76</v>
      </c>
      <c r="D15" s="18" t="s">
        <v>56</v>
      </c>
      <c r="E15" s="34" t="s">
        <v>57</v>
      </c>
      <c r="F15" s="35">
        <v>1.1</v>
      </c>
      <c r="G15" s="12">
        <v>2003</v>
      </c>
      <c r="I15" s="38">
        <f t="shared" si="0"/>
        <v>1.1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</row>
    <row r="16" spans="1:13" ht="12.75">
      <c r="A16" s="22">
        <v>12</v>
      </c>
      <c r="B16" s="36" t="s">
        <v>340</v>
      </c>
      <c r="C16" s="18" t="s">
        <v>196</v>
      </c>
      <c r="D16" s="18" t="s">
        <v>79</v>
      </c>
      <c r="E16" s="34" t="s">
        <v>57</v>
      </c>
      <c r="F16" s="35">
        <v>1.1</v>
      </c>
      <c r="G16" s="13">
        <v>2003</v>
      </c>
      <c r="I16" s="38">
        <f t="shared" si="0"/>
        <v>1.1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</row>
    <row r="17" spans="1:13" ht="12.75">
      <c r="A17" s="22">
        <v>13</v>
      </c>
      <c r="B17" s="36" t="s">
        <v>176</v>
      </c>
      <c r="C17" s="18" t="s">
        <v>196</v>
      </c>
      <c r="D17" s="18" t="s">
        <v>72</v>
      </c>
      <c r="E17" s="34" t="s">
        <v>57</v>
      </c>
      <c r="F17" s="35">
        <v>1.1</v>
      </c>
      <c r="G17" s="12">
        <v>2003</v>
      </c>
      <c r="I17" s="38">
        <f t="shared" si="0"/>
        <v>1.1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</row>
    <row r="18" spans="1:13" ht="12.75">
      <c r="A18" s="22">
        <v>14</v>
      </c>
      <c r="B18" s="36" t="s">
        <v>326</v>
      </c>
      <c r="C18" s="18" t="s">
        <v>148</v>
      </c>
      <c r="D18" s="18" t="s">
        <v>83</v>
      </c>
      <c r="E18" s="34" t="s">
        <v>57</v>
      </c>
      <c r="F18" s="35">
        <v>1.1</v>
      </c>
      <c r="G18" s="12">
        <v>2003</v>
      </c>
      <c r="I18" s="38">
        <f t="shared" si="0"/>
        <v>1.1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</row>
    <row r="19" spans="9:13" ht="7.5" customHeight="1">
      <c r="I19" s="36"/>
      <c r="J19" s="36"/>
      <c r="K19" s="36"/>
      <c r="L19" s="36"/>
      <c r="M19" s="36"/>
    </row>
    <row r="20" spans="9:13" ht="12.75">
      <c r="I20" s="39">
        <f>+SUM(I5:I18)</f>
        <v>60.500000000000014</v>
      </c>
      <c r="J20" s="39">
        <f>+SUM(J5:J18)</f>
        <v>48.75000000000001</v>
      </c>
      <c r="K20" s="39">
        <f>+SUM(K5:K18)</f>
        <v>29.450000000000003</v>
      </c>
      <c r="L20" s="39">
        <f>+SUM(L5:L18)</f>
        <v>29.450000000000003</v>
      </c>
      <c r="M20" s="39">
        <f>+SUM(M5:M18)</f>
        <v>16.3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287</v>
      </c>
      <c r="C26" s="18" t="s">
        <v>195</v>
      </c>
      <c r="D26" s="18" t="s">
        <v>61</v>
      </c>
      <c r="E26" s="34">
        <v>2003</v>
      </c>
      <c r="F26" s="35">
        <v>2.2</v>
      </c>
      <c r="G26" s="12">
        <v>2003</v>
      </c>
      <c r="I26" s="37">
        <f aca="true" t="shared" si="1" ref="I26:I33">+CEILING(IF($I$24=E26,F26,IF($I$24&lt;=G26,F26*0.3,0)),0.05)</f>
        <v>2.2</v>
      </c>
      <c r="J26" s="37">
        <f aca="true" t="shared" si="2" ref="J26:J33">+CEILING(IF($J$24&lt;=G26,F26*0.3,0),0.05)</f>
        <v>0</v>
      </c>
      <c r="K26" s="37">
        <f aca="true" t="shared" si="3" ref="K26:K33">+CEILING(IF($K$24&lt;=G26,F26*0.3,0),0.05)</f>
        <v>0</v>
      </c>
      <c r="L26" s="37">
        <f aca="true" t="shared" si="4" ref="L26:L33">+CEILING(IF($L$24&lt;=G26,F26*0.3,0),0.05)</f>
        <v>0</v>
      </c>
      <c r="M26" s="37">
        <f aca="true" t="shared" si="5" ref="M26:M33">CEILING(IF($M$24&lt;=G26,F26*0.3,0),0.05)</f>
        <v>0</v>
      </c>
    </row>
    <row r="27" spans="1:13" ht="12.75">
      <c r="A27" s="22">
        <v>2</v>
      </c>
      <c r="B27" s="36" t="s">
        <v>310</v>
      </c>
      <c r="C27" s="18" t="s">
        <v>76</v>
      </c>
      <c r="D27" s="18" t="s">
        <v>94</v>
      </c>
      <c r="E27" s="34">
        <v>2003</v>
      </c>
      <c r="F27" s="35">
        <v>1.7</v>
      </c>
      <c r="G27" s="12">
        <v>2003</v>
      </c>
      <c r="I27" s="38">
        <f t="shared" si="1"/>
        <v>1.7000000000000002</v>
      </c>
      <c r="J27" s="38">
        <f t="shared" si="2"/>
        <v>0</v>
      </c>
      <c r="K27" s="38">
        <f t="shared" si="3"/>
        <v>0</v>
      </c>
      <c r="L27" s="38">
        <f t="shared" si="4"/>
        <v>0</v>
      </c>
      <c r="M27" s="38">
        <f t="shared" si="5"/>
        <v>0</v>
      </c>
    </row>
    <row r="28" spans="1:13" ht="12.75">
      <c r="A28" s="22">
        <v>3</v>
      </c>
      <c r="B28" s="36" t="s">
        <v>289</v>
      </c>
      <c r="C28" s="18" t="s">
        <v>151</v>
      </c>
      <c r="D28" s="18" t="s">
        <v>112</v>
      </c>
      <c r="E28" s="34">
        <v>2003</v>
      </c>
      <c r="F28" s="35">
        <v>1.7</v>
      </c>
      <c r="G28" s="12">
        <v>2003</v>
      </c>
      <c r="I28" s="38">
        <f t="shared" si="1"/>
        <v>1.7000000000000002</v>
      </c>
      <c r="J28" s="38">
        <f t="shared" si="2"/>
        <v>0</v>
      </c>
      <c r="K28" s="38">
        <f t="shared" si="3"/>
        <v>0</v>
      </c>
      <c r="L28" s="38">
        <f t="shared" si="4"/>
        <v>0</v>
      </c>
      <c r="M28" s="38">
        <f t="shared" si="5"/>
        <v>0</v>
      </c>
    </row>
    <row r="29" spans="1:13" ht="12.75">
      <c r="A29" s="22">
        <v>4</v>
      </c>
      <c r="B29" s="36" t="s">
        <v>286</v>
      </c>
      <c r="C29" s="18" t="s">
        <v>173</v>
      </c>
      <c r="D29" s="18" t="s">
        <v>66</v>
      </c>
      <c r="E29" s="34">
        <v>2003</v>
      </c>
      <c r="F29" s="35">
        <v>1.3</v>
      </c>
      <c r="G29" s="13">
        <v>2003</v>
      </c>
      <c r="I29" s="38">
        <f t="shared" si="1"/>
        <v>1.3</v>
      </c>
      <c r="J29" s="38">
        <f t="shared" si="2"/>
        <v>0</v>
      </c>
      <c r="K29" s="38">
        <f t="shared" si="3"/>
        <v>0</v>
      </c>
      <c r="L29" s="38">
        <f t="shared" si="4"/>
        <v>0</v>
      </c>
      <c r="M29" s="38">
        <f t="shared" si="5"/>
        <v>0</v>
      </c>
    </row>
    <row r="30" spans="1:13" ht="12.75">
      <c r="A30" s="22">
        <v>5</v>
      </c>
      <c r="B30" s="36" t="s">
        <v>159</v>
      </c>
      <c r="C30" s="18" t="s">
        <v>196</v>
      </c>
      <c r="D30" s="18" t="s">
        <v>61</v>
      </c>
      <c r="E30" s="34">
        <v>2003</v>
      </c>
      <c r="F30" s="35">
        <v>1.1</v>
      </c>
      <c r="G30" s="12">
        <v>2003</v>
      </c>
      <c r="I30" s="38">
        <f t="shared" si="1"/>
        <v>1.1</v>
      </c>
      <c r="J30" s="38">
        <f t="shared" si="2"/>
        <v>0</v>
      </c>
      <c r="K30" s="38">
        <f t="shared" si="3"/>
        <v>0</v>
      </c>
      <c r="L30" s="38">
        <f t="shared" si="4"/>
        <v>0</v>
      </c>
      <c r="M30" s="38">
        <f t="shared" si="5"/>
        <v>0</v>
      </c>
    </row>
    <row r="31" spans="1:13" ht="12.75">
      <c r="A31" s="22">
        <v>6</v>
      </c>
      <c r="B31" s="36" t="s">
        <v>293</v>
      </c>
      <c r="C31" s="18" t="s">
        <v>65</v>
      </c>
      <c r="D31" s="18" t="s">
        <v>72</v>
      </c>
      <c r="E31" s="34">
        <v>2003</v>
      </c>
      <c r="F31" s="35">
        <v>1.1</v>
      </c>
      <c r="G31" s="12">
        <v>2003</v>
      </c>
      <c r="I31" s="38">
        <f t="shared" si="1"/>
        <v>1.1</v>
      </c>
      <c r="J31" s="38">
        <f t="shared" si="2"/>
        <v>0</v>
      </c>
      <c r="K31" s="38">
        <f t="shared" si="3"/>
        <v>0</v>
      </c>
      <c r="L31" s="38">
        <f t="shared" si="4"/>
        <v>0</v>
      </c>
      <c r="M31" s="38">
        <f t="shared" si="5"/>
        <v>0</v>
      </c>
    </row>
    <row r="32" spans="1:13" ht="12.75">
      <c r="A32" s="22">
        <v>7</v>
      </c>
      <c r="B32" s="36" t="s">
        <v>348</v>
      </c>
      <c r="C32" s="18" t="s">
        <v>148</v>
      </c>
      <c r="D32" s="18" t="s">
        <v>136</v>
      </c>
      <c r="E32" s="34">
        <v>2003</v>
      </c>
      <c r="F32" s="35">
        <v>1.1</v>
      </c>
      <c r="G32" s="12">
        <v>2003</v>
      </c>
      <c r="I32" s="38">
        <f t="shared" si="1"/>
        <v>1.1</v>
      </c>
      <c r="J32" s="38">
        <f t="shared" si="2"/>
        <v>0</v>
      </c>
      <c r="K32" s="38">
        <f t="shared" si="3"/>
        <v>0</v>
      </c>
      <c r="L32" s="38">
        <f t="shared" si="4"/>
        <v>0</v>
      </c>
      <c r="M32" s="38">
        <f t="shared" si="5"/>
        <v>0</v>
      </c>
    </row>
    <row r="33" spans="1:13" ht="12.75">
      <c r="A33" s="22">
        <v>8</v>
      </c>
      <c r="B33" s="36"/>
      <c r="D33" s="18"/>
      <c r="E33" s="34"/>
      <c r="F33" s="35"/>
      <c r="G33" s="12"/>
      <c r="I33" s="38">
        <f t="shared" si="1"/>
        <v>0</v>
      </c>
      <c r="J33" s="38">
        <f t="shared" si="2"/>
        <v>0</v>
      </c>
      <c r="K33" s="38">
        <f t="shared" si="3"/>
        <v>0</v>
      </c>
      <c r="L33" s="38">
        <f t="shared" si="4"/>
        <v>0</v>
      </c>
      <c r="M33" s="38">
        <f t="shared" si="5"/>
        <v>0</v>
      </c>
    </row>
    <row r="34" spans="9:13" ht="7.5" customHeight="1">
      <c r="I34" s="36"/>
      <c r="J34" s="36"/>
      <c r="K34" s="36"/>
      <c r="L34" s="36"/>
      <c r="M34" s="36"/>
    </row>
    <row r="35" spans="9:13" ht="12.75">
      <c r="I35" s="39">
        <f>+SUM(I26:I34)</f>
        <v>10.2</v>
      </c>
      <c r="J35" s="39">
        <f>+SUM(J26:J34)</f>
        <v>0</v>
      </c>
      <c r="K35" s="39">
        <f>+SUM(K26:K34)</f>
        <v>0</v>
      </c>
      <c r="L35" s="39">
        <f>+SUM(L26:L34)</f>
        <v>0</v>
      </c>
      <c r="M35" s="39">
        <f>+SUM(M26:M34)</f>
        <v>0</v>
      </c>
    </row>
    <row r="36" spans="9:13" ht="12.75">
      <c r="I36" s="26"/>
      <c r="J36" s="26"/>
      <c r="K36" s="26"/>
      <c r="L36" s="26"/>
      <c r="M36" s="26"/>
    </row>
    <row r="37" spans="1:13" ht="15.75">
      <c r="A37" s="60" t="s">
        <v>23</v>
      </c>
      <c r="B37" s="16"/>
      <c r="C37" s="28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9:13" ht="7.5" customHeight="1">
      <c r="I38" s="26"/>
      <c r="J38" s="26"/>
      <c r="K38" s="26"/>
      <c r="L38" s="26"/>
      <c r="M38" s="26"/>
    </row>
    <row r="39" spans="1:13" ht="12.75">
      <c r="A39" s="22"/>
      <c r="B39" s="19" t="s">
        <v>26</v>
      </c>
      <c r="C39" s="20"/>
      <c r="D39" s="20"/>
      <c r="E39" s="20"/>
      <c r="F39" s="20" t="s">
        <v>25</v>
      </c>
      <c r="G39" s="20" t="s">
        <v>24</v>
      </c>
      <c r="I39" s="21">
        <f>+I$3</f>
        <v>2003</v>
      </c>
      <c r="J39" s="21">
        <f>+J$3</f>
        <v>2004</v>
      </c>
      <c r="K39" s="21">
        <f>+K$3</f>
        <v>2005</v>
      </c>
      <c r="L39" s="21">
        <f>+L$3</f>
        <v>2006</v>
      </c>
      <c r="M39" s="21">
        <f>+M$3</f>
        <v>2007</v>
      </c>
    </row>
    <row r="40" spans="1:13" ht="7.5" customHeight="1">
      <c r="A40" s="22"/>
      <c r="I40" s="26"/>
      <c r="J40" s="26"/>
      <c r="K40" s="26"/>
      <c r="L40" s="26"/>
      <c r="M40" s="26"/>
    </row>
    <row r="41" spans="1:13" ht="12.75">
      <c r="A41" s="22">
        <v>1</v>
      </c>
      <c r="B41" s="125" t="s">
        <v>284</v>
      </c>
      <c r="C41" s="125"/>
      <c r="D41" s="125"/>
      <c r="E41" s="125"/>
      <c r="F41" s="40">
        <v>-2</v>
      </c>
      <c r="G41" s="18">
        <v>2003</v>
      </c>
      <c r="I41" s="58">
        <f>+F41</f>
        <v>-2</v>
      </c>
      <c r="J41" s="58">
        <v>0</v>
      </c>
      <c r="K41" s="58">
        <v>0</v>
      </c>
      <c r="L41" s="58">
        <v>0</v>
      </c>
      <c r="M41" s="58">
        <v>0</v>
      </c>
    </row>
    <row r="42" spans="1:13" ht="12.75">
      <c r="A42" s="22">
        <v>2</v>
      </c>
      <c r="B42" s="125"/>
      <c r="C42" s="125"/>
      <c r="D42" s="125"/>
      <c r="E42" s="125"/>
      <c r="I42" s="58"/>
      <c r="J42" s="58"/>
      <c r="K42" s="58"/>
      <c r="L42" s="58"/>
      <c r="M42" s="58"/>
    </row>
    <row r="43" spans="1:13" ht="7.5" customHeight="1">
      <c r="A43" s="22"/>
      <c r="I43" s="58"/>
      <c r="J43" s="58"/>
      <c r="K43" s="58"/>
      <c r="L43" s="58"/>
      <c r="M43" s="58"/>
    </row>
    <row r="44" spans="1:13" ht="12.75">
      <c r="A44" s="22"/>
      <c r="I44" s="26">
        <f>+SUM(I41:I43)</f>
        <v>-2</v>
      </c>
      <c r="J44" s="26">
        <f>+SUM(J41:J43)</f>
        <v>0</v>
      </c>
      <c r="K44" s="26">
        <f>+SUM(K41:K43)</f>
        <v>0</v>
      </c>
      <c r="L44" s="26">
        <f>+SUM(L41:L43)</f>
        <v>0</v>
      </c>
      <c r="M44" s="26">
        <f>+SUM(M41:M43)</f>
        <v>0</v>
      </c>
    </row>
    <row r="45" spans="9:13" ht="12.75">
      <c r="I45" s="25"/>
      <c r="J45" s="25"/>
      <c r="K45" s="25"/>
      <c r="L45" s="25"/>
      <c r="M45" s="25"/>
    </row>
    <row r="46" spans="1:13" ht="15.75">
      <c r="A46" s="29"/>
      <c r="B46" s="30" t="s">
        <v>27</v>
      </c>
      <c r="C46" s="31"/>
      <c r="D46" s="32"/>
      <c r="E46" s="32"/>
      <c r="F46" s="32"/>
      <c r="G46" s="29"/>
      <c r="H46" s="32"/>
      <c r="I46" s="33">
        <f>+I20+I35+I44</f>
        <v>68.70000000000002</v>
      </c>
      <c r="J46" s="33">
        <f>+J20+J35+J44</f>
        <v>48.75000000000001</v>
      </c>
      <c r="K46" s="33">
        <f>+K20+K35+K44</f>
        <v>29.450000000000003</v>
      </c>
      <c r="L46" s="33">
        <f>+L20+L35+L44</f>
        <v>29.450000000000003</v>
      </c>
      <c r="M46" s="33">
        <f>+M20+M35+M44</f>
        <v>16.3</v>
      </c>
    </row>
  </sheetData>
  <sheetProtection/>
  <mergeCells count="2">
    <mergeCell ref="B41:E41"/>
    <mergeCell ref="B42:E4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3" width="4.7109375" style="18" customWidth="1"/>
    <col min="4" max="4" width="5.7109375" style="17" customWidth="1"/>
    <col min="5" max="5" width="6.7109375" style="17" customWidth="1"/>
    <col min="6" max="6" width="7.7109375" style="17" customWidth="1"/>
    <col min="7" max="7" width="6.7109375" style="17" customWidth="1"/>
    <col min="8" max="8" width="0.85546875" style="17" customWidth="1"/>
    <col min="9" max="13" width="8.7109375" style="17" customWidth="1"/>
    <col min="14" max="16384" width="9.140625" style="17" customWidth="1"/>
  </cols>
  <sheetData>
    <row r="1" spans="1:13" ht="15.75">
      <c r="A1" s="61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7.5" customHeight="1"/>
    <row r="3" spans="2:13" ht="12.75">
      <c r="B3" s="19" t="s">
        <v>1</v>
      </c>
      <c r="C3" s="20" t="s">
        <v>19</v>
      </c>
      <c r="D3" s="20" t="s">
        <v>5</v>
      </c>
      <c r="E3" s="20" t="s">
        <v>6</v>
      </c>
      <c r="F3" s="20" t="s">
        <v>3</v>
      </c>
      <c r="G3" s="20" t="s">
        <v>20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</row>
    <row r="4" spans="2:6" ht="7.5" customHeight="1">
      <c r="B4" s="19"/>
      <c r="C4" s="21"/>
      <c r="E4" s="21"/>
      <c r="F4" s="21"/>
    </row>
    <row r="5" spans="1:13" ht="12.75">
      <c r="A5" s="22">
        <v>1</v>
      </c>
      <c r="B5" s="36" t="s">
        <v>259</v>
      </c>
      <c r="C5" s="18" t="s">
        <v>76</v>
      </c>
      <c r="D5" s="18" t="s">
        <v>69</v>
      </c>
      <c r="E5" s="34" t="s">
        <v>57</v>
      </c>
      <c r="F5" s="35">
        <v>4.5</v>
      </c>
      <c r="G5" s="12">
        <v>2007</v>
      </c>
      <c r="I5" s="37">
        <f aca="true" t="shared" si="0" ref="I5:M14">+IF($G5&gt;=I$3,$F5,0)</f>
        <v>4.5</v>
      </c>
      <c r="J5" s="37">
        <f t="shared" si="0"/>
        <v>4.5</v>
      </c>
      <c r="K5" s="37">
        <f t="shared" si="0"/>
        <v>4.5</v>
      </c>
      <c r="L5" s="37">
        <f t="shared" si="0"/>
        <v>4.5</v>
      </c>
      <c r="M5" s="37">
        <f t="shared" si="0"/>
        <v>4.5</v>
      </c>
    </row>
    <row r="6" spans="1:13" ht="12.75">
      <c r="A6" s="22">
        <v>2</v>
      </c>
      <c r="B6" s="36" t="s">
        <v>251</v>
      </c>
      <c r="C6" s="18" t="s">
        <v>196</v>
      </c>
      <c r="D6" s="18" t="s">
        <v>79</v>
      </c>
      <c r="E6" s="34" t="s">
        <v>57</v>
      </c>
      <c r="F6" s="35">
        <v>1.1</v>
      </c>
      <c r="G6" s="12">
        <v>2007</v>
      </c>
      <c r="I6" s="38">
        <f t="shared" si="0"/>
        <v>1.1</v>
      </c>
      <c r="J6" s="38">
        <f t="shared" si="0"/>
        <v>1.1</v>
      </c>
      <c r="K6" s="38">
        <f t="shared" si="0"/>
        <v>1.1</v>
      </c>
      <c r="L6" s="38">
        <f t="shared" si="0"/>
        <v>1.1</v>
      </c>
      <c r="M6" s="38">
        <f t="shared" si="0"/>
        <v>1.1</v>
      </c>
    </row>
    <row r="7" spans="1:13" ht="12.75">
      <c r="A7" s="22">
        <v>3</v>
      </c>
      <c r="B7" s="36" t="s">
        <v>96</v>
      </c>
      <c r="C7" s="18" t="s">
        <v>195</v>
      </c>
      <c r="D7" s="18" t="s">
        <v>79</v>
      </c>
      <c r="E7" s="34" t="s">
        <v>57</v>
      </c>
      <c r="F7" s="35">
        <v>11</v>
      </c>
      <c r="G7" s="12">
        <v>2006</v>
      </c>
      <c r="I7" s="38">
        <f t="shared" si="0"/>
        <v>11</v>
      </c>
      <c r="J7" s="38">
        <f t="shared" si="0"/>
        <v>11</v>
      </c>
      <c r="K7" s="38">
        <f t="shared" si="0"/>
        <v>11</v>
      </c>
      <c r="L7" s="38">
        <f t="shared" si="0"/>
        <v>11</v>
      </c>
      <c r="M7" s="38">
        <f t="shared" si="0"/>
        <v>0</v>
      </c>
    </row>
    <row r="8" spans="1:13" ht="12.75">
      <c r="A8" s="22">
        <v>4</v>
      </c>
      <c r="B8" s="36" t="s">
        <v>64</v>
      </c>
      <c r="C8" s="18" t="s">
        <v>173</v>
      </c>
      <c r="D8" s="18" t="s">
        <v>66</v>
      </c>
      <c r="E8" s="34" t="s">
        <v>57</v>
      </c>
      <c r="F8" s="35">
        <v>9</v>
      </c>
      <c r="G8" s="12">
        <v>2006</v>
      </c>
      <c r="I8" s="38">
        <f t="shared" si="0"/>
        <v>9</v>
      </c>
      <c r="J8" s="38">
        <f t="shared" si="0"/>
        <v>9</v>
      </c>
      <c r="K8" s="38">
        <f t="shared" si="0"/>
        <v>9</v>
      </c>
      <c r="L8" s="38">
        <f t="shared" si="0"/>
        <v>9</v>
      </c>
      <c r="M8" s="38">
        <f t="shared" si="0"/>
        <v>0</v>
      </c>
    </row>
    <row r="9" spans="1:13" ht="12.75">
      <c r="A9" s="22">
        <v>5</v>
      </c>
      <c r="B9" s="36" t="s">
        <v>147</v>
      </c>
      <c r="C9" s="18" t="s">
        <v>148</v>
      </c>
      <c r="D9" s="18" t="s">
        <v>59</v>
      </c>
      <c r="E9" s="34" t="s">
        <v>57</v>
      </c>
      <c r="F9" s="35">
        <v>1.8</v>
      </c>
      <c r="G9" s="12">
        <v>2006</v>
      </c>
      <c r="I9" s="38">
        <f t="shared" si="0"/>
        <v>1.8</v>
      </c>
      <c r="J9" s="38">
        <f t="shared" si="0"/>
        <v>1.8</v>
      </c>
      <c r="K9" s="38">
        <f t="shared" si="0"/>
        <v>1.8</v>
      </c>
      <c r="L9" s="38">
        <f t="shared" si="0"/>
        <v>1.8</v>
      </c>
      <c r="M9" s="38">
        <f t="shared" si="0"/>
        <v>0</v>
      </c>
    </row>
    <row r="10" spans="1:13" ht="12.75">
      <c r="A10" s="22">
        <v>6</v>
      </c>
      <c r="B10" s="36" t="s">
        <v>82</v>
      </c>
      <c r="C10" s="18" t="s">
        <v>157</v>
      </c>
      <c r="D10" s="18" t="s">
        <v>74</v>
      </c>
      <c r="E10" s="34" t="s">
        <v>57</v>
      </c>
      <c r="F10" s="35">
        <v>10.5</v>
      </c>
      <c r="G10" s="13">
        <v>2004</v>
      </c>
      <c r="I10" s="38">
        <f t="shared" si="0"/>
        <v>10.5</v>
      </c>
      <c r="J10" s="38">
        <f t="shared" si="0"/>
        <v>10.5</v>
      </c>
      <c r="K10" s="38">
        <f t="shared" si="0"/>
        <v>0</v>
      </c>
      <c r="L10" s="38">
        <f t="shared" si="0"/>
        <v>0</v>
      </c>
      <c r="M10" s="38">
        <f t="shared" si="0"/>
        <v>0</v>
      </c>
    </row>
    <row r="11" spans="1:13" ht="12.75">
      <c r="A11" s="22">
        <v>7</v>
      </c>
      <c r="B11" s="36" t="s">
        <v>125</v>
      </c>
      <c r="C11" s="18" t="s">
        <v>151</v>
      </c>
      <c r="D11" s="18" t="s">
        <v>112</v>
      </c>
      <c r="E11" s="34" t="s">
        <v>57</v>
      </c>
      <c r="F11" s="35">
        <v>6.35</v>
      </c>
      <c r="G11" s="12">
        <v>2004</v>
      </c>
      <c r="I11" s="38">
        <f t="shared" si="0"/>
        <v>6.35</v>
      </c>
      <c r="J11" s="38">
        <f t="shared" si="0"/>
        <v>6.35</v>
      </c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2">
        <v>8</v>
      </c>
      <c r="B12" s="36" t="s">
        <v>111</v>
      </c>
      <c r="C12" s="18" t="s">
        <v>148</v>
      </c>
      <c r="D12" s="18" t="s">
        <v>112</v>
      </c>
      <c r="E12" s="34" t="s">
        <v>57</v>
      </c>
      <c r="F12" s="35">
        <v>5</v>
      </c>
      <c r="G12" s="12">
        <v>2004</v>
      </c>
      <c r="I12" s="38">
        <f t="shared" si="0"/>
        <v>5</v>
      </c>
      <c r="J12" s="38">
        <f t="shared" si="0"/>
        <v>5</v>
      </c>
      <c r="K12" s="38">
        <f t="shared" si="0"/>
        <v>0</v>
      </c>
      <c r="L12" s="38">
        <f t="shared" si="0"/>
        <v>0</v>
      </c>
      <c r="M12" s="38">
        <f t="shared" si="0"/>
        <v>0</v>
      </c>
    </row>
    <row r="13" spans="1:13" ht="12.75">
      <c r="A13" s="22">
        <v>9</v>
      </c>
      <c r="B13" s="36" t="s">
        <v>156</v>
      </c>
      <c r="C13" s="18" t="s">
        <v>157</v>
      </c>
      <c r="D13" s="18" t="s">
        <v>92</v>
      </c>
      <c r="E13" s="34" t="s">
        <v>57</v>
      </c>
      <c r="F13" s="35">
        <v>4.5</v>
      </c>
      <c r="G13" s="12">
        <v>2004</v>
      </c>
      <c r="I13" s="38">
        <f t="shared" si="0"/>
        <v>4.5</v>
      </c>
      <c r="J13" s="38">
        <f t="shared" si="0"/>
        <v>4.5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3" ht="12.75">
      <c r="A14" s="22">
        <v>10</v>
      </c>
      <c r="B14" s="36" t="s">
        <v>240</v>
      </c>
      <c r="C14" s="18" t="s">
        <v>195</v>
      </c>
      <c r="D14" s="18" t="s">
        <v>72</v>
      </c>
      <c r="E14" s="34" t="s">
        <v>57</v>
      </c>
      <c r="F14" s="35">
        <v>1.75</v>
      </c>
      <c r="G14" s="12">
        <v>2004</v>
      </c>
      <c r="I14" s="38">
        <f t="shared" si="0"/>
        <v>1.75</v>
      </c>
      <c r="J14" s="38">
        <f t="shared" si="0"/>
        <v>1.75</v>
      </c>
      <c r="K14" s="38">
        <f t="shared" si="0"/>
        <v>0</v>
      </c>
      <c r="L14" s="38">
        <f t="shared" si="0"/>
        <v>0</v>
      </c>
      <c r="M14" s="38">
        <f t="shared" si="0"/>
        <v>0</v>
      </c>
    </row>
    <row r="15" spans="1:13" ht="12.75">
      <c r="A15" s="22">
        <v>11</v>
      </c>
      <c r="B15" s="36" t="s">
        <v>192</v>
      </c>
      <c r="C15" s="18" t="s">
        <v>196</v>
      </c>
      <c r="D15" s="18" t="s">
        <v>136</v>
      </c>
      <c r="E15" s="34" t="s">
        <v>57</v>
      </c>
      <c r="F15" s="35">
        <v>1.5</v>
      </c>
      <c r="G15" s="12">
        <v>2004</v>
      </c>
      <c r="I15" s="38">
        <f aca="true" t="shared" si="1" ref="I15:M18">+IF($G15&gt;=I$3,$F15,0)</f>
        <v>1.5</v>
      </c>
      <c r="J15" s="38">
        <f t="shared" si="1"/>
        <v>1.5</v>
      </c>
      <c r="K15" s="38">
        <f t="shared" si="1"/>
        <v>0</v>
      </c>
      <c r="L15" s="38">
        <f t="shared" si="1"/>
        <v>0</v>
      </c>
      <c r="M15" s="38">
        <f t="shared" si="1"/>
        <v>0</v>
      </c>
    </row>
    <row r="16" spans="1:13" ht="12.75">
      <c r="A16" s="22">
        <v>12</v>
      </c>
      <c r="B16" s="36" t="s">
        <v>378</v>
      </c>
      <c r="C16" s="18" t="s">
        <v>173</v>
      </c>
      <c r="D16" s="18" t="s">
        <v>78</v>
      </c>
      <c r="E16" s="34" t="s">
        <v>57</v>
      </c>
      <c r="F16" s="35">
        <v>1.1</v>
      </c>
      <c r="G16" s="12">
        <v>2003</v>
      </c>
      <c r="I16" s="38">
        <f t="shared" si="1"/>
        <v>1.1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2">
        <v>13</v>
      </c>
      <c r="B17" s="36" t="s">
        <v>351</v>
      </c>
      <c r="C17" s="18" t="s">
        <v>76</v>
      </c>
      <c r="D17" s="18" t="s">
        <v>87</v>
      </c>
      <c r="E17" s="34" t="s">
        <v>57</v>
      </c>
      <c r="F17" s="35">
        <v>1.1</v>
      </c>
      <c r="G17" s="12">
        <v>2003</v>
      </c>
      <c r="I17" s="38">
        <f t="shared" si="1"/>
        <v>1.1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</row>
    <row r="18" spans="1:13" ht="12.75">
      <c r="A18" s="22">
        <v>14</v>
      </c>
      <c r="B18" s="36" t="s">
        <v>373</v>
      </c>
      <c r="C18" s="18" t="s">
        <v>148</v>
      </c>
      <c r="D18" s="18" t="s">
        <v>86</v>
      </c>
      <c r="E18" s="34" t="s">
        <v>57</v>
      </c>
      <c r="F18" s="35">
        <v>1.1</v>
      </c>
      <c r="G18" s="12">
        <v>2003</v>
      </c>
      <c r="H18" s="17">
        <v>2</v>
      </c>
      <c r="I18" s="38">
        <f t="shared" si="1"/>
        <v>1.1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</row>
    <row r="19" spans="9:13" ht="7.5" customHeight="1">
      <c r="I19" s="36"/>
      <c r="J19" s="36"/>
      <c r="K19" s="36"/>
      <c r="L19" s="36"/>
      <c r="M19" s="36"/>
    </row>
    <row r="20" spans="2:13" ht="12.75">
      <c r="B20" s="36"/>
      <c r="D20" s="18"/>
      <c r="E20" s="34"/>
      <c r="F20" s="35"/>
      <c r="G20" s="12"/>
      <c r="I20" s="39">
        <f>+SUM(I5:I18)</f>
        <v>60.30000000000001</v>
      </c>
      <c r="J20" s="39">
        <f>+SUM(J5:J18)</f>
        <v>57.00000000000001</v>
      </c>
      <c r="K20" s="39">
        <f>+SUM(K5:K18)</f>
        <v>27.400000000000002</v>
      </c>
      <c r="L20" s="39">
        <f>+SUM(L5:L18)</f>
        <v>27.400000000000002</v>
      </c>
      <c r="M20" s="39">
        <f>+SUM(M5:M18)</f>
        <v>5.6</v>
      </c>
    </row>
    <row r="22" spans="1:13" ht="15.75">
      <c r="A22" s="60" t="s">
        <v>4</v>
      </c>
      <c r="B22" s="16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7.5" customHeight="1"/>
    <row r="24" spans="2:13" ht="12.75">
      <c r="B24" s="19" t="s">
        <v>1</v>
      </c>
      <c r="C24" s="20" t="s">
        <v>19</v>
      </c>
      <c r="D24" s="20" t="s">
        <v>5</v>
      </c>
      <c r="E24" s="20" t="s">
        <v>7</v>
      </c>
      <c r="F24" s="20" t="s">
        <v>3</v>
      </c>
      <c r="G24" s="20" t="s">
        <v>20</v>
      </c>
      <c r="I24" s="21">
        <f>+I$3</f>
        <v>2003</v>
      </c>
      <c r="J24" s="21">
        <f>+J$3</f>
        <v>2004</v>
      </c>
      <c r="K24" s="21">
        <f>+K$3</f>
        <v>2005</v>
      </c>
      <c r="L24" s="21">
        <f>+L$3</f>
        <v>2006</v>
      </c>
      <c r="M24" s="21">
        <f>+M$3</f>
        <v>2007</v>
      </c>
    </row>
    <row r="25" spans="2:6" ht="7.5" customHeight="1">
      <c r="B25" s="19"/>
      <c r="C25" s="21"/>
      <c r="E25" s="21"/>
      <c r="F25" s="21"/>
    </row>
    <row r="26" spans="1:13" ht="12.75">
      <c r="A26" s="22">
        <v>1</v>
      </c>
      <c r="B26" s="36" t="s">
        <v>264</v>
      </c>
      <c r="C26" s="18" t="s">
        <v>65</v>
      </c>
      <c r="D26" s="18" t="s">
        <v>85</v>
      </c>
      <c r="E26" s="34">
        <v>2003</v>
      </c>
      <c r="F26" s="35">
        <v>1.65</v>
      </c>
      <c r="G26" s="12">
        <v>2003</v>
      </c>
      <c r="I26" s="37">
        <f>+CEILING(IF($I$24=E26,F26,IF($I$24&lt;=G26,F26*0.3,0)),0.05)</f>
        <v>1.6500000000000001</v>
      </c>
      <c r="J26" s="37">
        <f>+CEILING(IF($J$24&lt;=G26,F26*0.3,0),0.05)</f>
        <v>0</v>
      </c>
      <c r="K26" s="37">
        <f>+CEILING(IF($K$24&lt;=G26,F26*0.3,0),0.05)</f>
        <v>0</v>
      </c>
      <c r="L26" s="37">
        <f>+CEILING(IF($L$24&lt;=G26,F26*0.3,0),0.05)</f>
        <v>0</v>
      </c>
      <c r="M26" s="37">
        <f>CEILING(IF($M$24&lt;=G26,F26*0.3,0),0.05)</f>
        <v>0</v>
      </c>
    </row>
    <row r="27" spans="1:13" ht="12.75">
      <c r="A27" s="22">
        <v>2</v>
      </c>
      <c r="B27" s="36" t="s">
        <v>258</v>
      </c>
      <c r="C27" s="18" t="s">
        <v>173</v>
      </c>
      <c r="D27" s="18" t="s">
        <v>121</v>
      </c>
      <c r="E27" s="34">
        <v>2003</v>
      </c>
      <c r="F27" s="35">
        <v>1.1</v>
      </c>
      <c r="G27" s="12">
        <v>2003</v>
      </c>
      <c r="I27" s="38">
        <f>+CEILING(IF($I$24=E27,F27,IF($I$24&lt;=G27,F27*0.3,0)),0.05)</f>
        <v>1.1</v>
      </c>
      <c r="J27" s="38">
        <f>+CEILING(IF($J$24&lt;=G27,F27*0.3,0),0.05)</f>
        <v>0</v>
      </c>
      <c r="K27" s="38">
        <f>+CEILING(IF($K$24&lt;=G27,F27*0.3,0),0.05)</f>
        <v>0</v>
      </c>
      <c r="L27" s="38">
        <f>+CEILING(IF($L$24&lt;=G27,F27*0.3,0),0.05)</f>
        <v>0</v>
      </c>
      <c r="M27" s="38">
        <f>CEILING(IF($M$24&lt;=G27,F27*0.3,0),0.05)</f>
        <v>0</v>
      </c>
    </row>
    <row r="28" spans="1:13" ht="12.75">
      <c r="A28" s="22">
        <v>3</v>
      </c>
      <c r="B28" s="36" t="s">
        <v>335</v>
      </c>
      <c r="C28" s="18" t="s">
        <v>65</v>
      </c>
      <c r="D28" s="18" t="s">
        <v>83</v>
      </c>
      <c r="E28" s="34">
        <v>2003</v>
      </c>
      <c r="F28" s="35">
        <v>1.1</v>
      </c>
      <c r="G28" s="12">
        <v>2003</v>
      </c>
      <c r="I28" s="38">
        <f>+CEILING(IF($I$24=E28,F28,IF($I$24&lt;=G28,F28*0.3,0)),0.05)</f>
        <v>1.1</v>
      </c>
      <c r="J28" s="38">
        <f>+CEILING(IF($J$24&lt;=G28,F28*0.3,0),0.05)</f>
        <v>0</v>
      </c>
      <c r="K28" s="38">
        <f>+CEILING(IF($K$24&lt;=G28,F28*0.3,0),0.05)</f>
        <v>0</v>
      </c>
      <c r="L28" s="38">
        <f>+CEILING(IF($L$24&lt;=G28,F28*0.3,0),0.05)</f>
        <v>0</v>
      </c>
      <c r="M28" s="38">
        <f>CEILING(IF($M$24&lt;=G28,F28*0.3,0),0.05)</f>
        <v>0</v>
      </c>
    </row>
    <row r="29" spans="1:13" ht="12.75">
      <c r="A29" s="22">
        <v>4</v>
      </c>
      <c r="B29" s="36" t="s">
        <v>343</v>
      </c>
      <c r="C29" s="18" t="s">
        <v>65</v>
      </c>
      <c r="D29" s="18" t="s">
        <v>74</v>
      </c>
      <c r="E29" s="34">
        <v>2003</v>
      </c>
      <c r="F29" s="35">
        <v>1.1</v>
      </c>
      <c r="G29" s="12">
        <v>2003</v>
      </c>
      <c r="I29" s="38">
        <f>+CEILING(IF($I$24=E29,F29,IF($I$24&lt;=G29,F29*0.3,0)),0.05)</f>
        <v>1.1</v>
      </c>
      <c r="J29" s="38">
        <f>+CEILING(IF($J$24&lt;=G29,F29*0.3,0),0.05)</f>
        <v>0</v>
      </c>
      <c r="K29" s="38">
        <f>+CEILING(IF($K$24&lt;=G29,F29*0.3,0),0.05)</f>
        <v>0</v>
      </c>
      <c r="L29" s="38">
        <f>+CEILING(IF($L$24&lt;=G29,F29*0.3,0),0.05)</f>
        <v>0</v>
      </c>
      <c r="M29" s="38">
        <f>CEILING(IF($M$24&lt;=G29,F29*0.3,0),0.05)</f>
        <v>0</v>
      </c>
    </row>
    <row r="30" spans="1:13" ht="12.75">
      <c r="A30" s="22">
        <v>5</v>
      </c>
      <c r="D30" s="18"/>
      <c r="E30" s="18"/>
      <c r="G30" s="18"/>
      <c r="I30" s="38">
        <f>+CEILING(IF($I$24=E30,F30,IF($I$24&lt;=G30,F30*0.3,0)),0.05)</f>
        <v>0</v>
      </c>
      <c r="J30" s="38">
        <f>+CEILING(IF($J$24&lt;=G30,F30*0.3,0),0.05)</f>
        <v>0</v>
      </c>
      <c r="K30" s="38">
        <f>+CEILING(IF($K$24&lt;=G30,F30*0.3,0),0.05)</f>
        <v>0</v>
      </c>
      <c r="L30" s="38">
        <f>+CEILING(IF($L$24&lt;=G30,F30*0.3,0),0.05)</f>
        <v>0</v>
      </c>
      <c r="M30" s="38">
        <f>CEILING(IF($M$24&lt;=G30,F30*0.3,0),0.05)</f>
        <v>0</v>
      </c>
    </row>
    <row r="31" spans="9:13" ht="7.5" customHeight="1">
      <c r="I31" s="36"/>
      <c r="J31" s="36"/>
      <c r="K31" s="36"/>
      <c r="L31" s="36"/>
      <c r="M31" s="36"/>
    </row>
    <row r="32" spans="9:13" ht="12.75">
      <c r="I32" s="39">
        <f>+SUM(I26:I31)</f>
        <v>4.95</v>
      </c>
      <c r="J32" s="39">
        <f>+SUM(J26:J31)</f>
        <v>0</v>
      </c>
      <c r="K32" s="39">
        <f>+SUM(K26:K31)</f>
        <v>0</v>
      </c>
      <c r="L32" s="39">
        <f>+SUM(L26:L31)</f>
        <v>0</v>
      </c>
      <c r="M32" s="39">
        <f>+SUM(M26:M31)</f>
        <v>0</v>
      </c>
    </row>
    <row r="33" spans="9:13" ht="12.75">
      <c r="I33" s="26"/>
      <c r="J33" s="26"/>
      <c r="K33" s="26"/>
      <c r="L33" s="26"/>
      <c r="M33" s="26"/>
    </row>
    <row r="34" spans="1:13" ht="15.75">
      <c r="A34" s="60" t="s">
        <v>23</v>
      </c>
      <c r="B34" s="16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9:13" ht="7.5" customHeight="1">
      <c r="I35" s="26"/>
      <c r="J35" s="26"/>
      <c r="K35" s="26"/>
      <c r="L35" s="26"/>
      <c r="M35" s="26"/>
    </row>
    <row r="36" spans="1:13" ht="12.75">
      <c r="A36" s="22"/>
      <c r="B36" s="19" t="s">
        <v>26</v>
      </c>
      <c r="C36" s="20"/>
      <c r="D36" s="20"/>
      <c r="E36" s="20"/>
      <c r="F36" s="20" t="s">
        <v>25</v>
      </c>
      <c r="G36" s="20" t="s">
        <v>24</v>
      </c>
      <c r="I36" s="21">
        <f>+I$3</f>
        <v>2003</v>
      </c>
      <c r="J36" s="21">
        <f>+J$3</f>
        <v>2004</v>
      </c>
      <c r="K36" s="21">
        <f>+K$3</f>
        <v>2005</v>
      </c>
      <c r="L36" s="21">
        <f>+L$3</f>
        <v>2006</v>
      </c>
      <c r="M36" s="21">
        <f>+M$3</f>
        <v>2007</v>
      </c>
    </row>
    <row r="37" spans="1:13" ht="7.5" customHeight="1">
      <c r="A37" s="22"/>
      <c r="I37" s="58"/>
      <c r="J37" s="58"/>
      <c r="K37" s="58"/>
      <c r="L37" s="58"/>
      <c r="M37" s="58"/>
    </row>
    <row r="38" spans="1:13" ht="12.75">
      <c r="A38" s="22">
        <v>1</v>
      </c>
      <c r="B38" s="125" t="s">
        <v>377</v>
      </c>
      <c r="C38" s="125"/>
      <c r="D38" s="125"/>
      <c r="E38" s="125"/>
      <c r="F38" s="40">
        <v>6.45</v>
      </c>
      <c r="G38" s="18">
        <v>2003</v>
      </c>
      <c r="I38" s="58">
        <v>6.45</v>
      </c>
      <c r="J38" s="58">
        <v>0</v>
      </c>
      <c r="K38" s="58">
        <v>0</v>
      </c>
      <c r="L38" s="58">
        <v>0</v>
      </c>
      <c r="M38" s="58">
        <v>0</v>
      </c>
    </row>
    <row r="39" spans="1:13" ht="12.75">
      <c r="A39" s="22">
        <v>2</v>
      </c>
      <c r="B39" s="125"/>
      <c r="C39" s="125"/>
      <c r="D39" s="125"/>
      <c r="E39" s="125"/>
      <c r="I39" s="58"/>
      <c r="J39" s="58"/>
      <c r="K39" s="58"/>
      <c r="L39" s="58"/>
      <c r="M39" s="58"/>
    </row>
    <row r="40" spans="1:13" ht="7.5" customHeight="1">
      <c r="A40" s="22"/>
      <c r="I40" s="58"/>
      <c r="J40" s="58"/>
      <c r="K40" s="58"/>
      <c r="L40" s="58"/>
      <c r="M40" s="58"/>
    </row>
    <row r="41" spans="1:13" ht="12.75">
      <c r="A41" s="22"/>
      <c r="I41" s="26">
        <f>+SUM(I38:I40)</f>
        <v>6.45</v>
      </c>
      <c r="J41" s="26">
        <f>+SUM(J38:J40)</f>
        <v>0</v>
      </c>
      <c r="K41" s="26">
        <f>+SUM(K38:K40)</f>
        <v>0</v>
      </c>
      <c r="L41" s="26">
        <f>+SUM(L38:L40)</f>
        <v>0</v>
      </c>
      <c r="M41" s="26">
        <f>+SUM(M38:M40)</f>
        <v>0</v>
      </c>
    </row>
    <row r="42" spans="9:13" ht="12.75">
      <c r="I42" s="25"/>
      <c r="J42" s="25"/>
      <c r="K42" s="25"/>
      <c r="L42" s="25"/>
      <c r="M42" s="25"/>
    </row>
    <row r="43" spans="1:13" ht="15.75">
      <c r="A43" s="29"/>
      <c r="B43" s="30" t="s">
        <v>27</v>
      </c>
      <c r="C43" s="31"/>
      <c r="D43" s="32"/>
      <c r="E43" s="32"/>
      <c r="F43" s="32"/>
      <c r="G43" s="29"/>
      <c r="H43" s="32"/>
      <c r="I43" s="33">
        <f>+I20+I32+I41</f>
        <v>71.70000000000002</v>
      </c>
      <c r="J43" s="33">
        <f>+J20+J32+J41</f>
        <v>57.00000000000001</v>
      </c>
      <c r="K43" s="33">
        <f>+K20+K32+K41</f>
        <v>27.400000000000002</v>
      </c>
      <c r="L43" s="33">
        <f>+L20+L32+L41</f>
        <v>27.400000000000002</v>
      </c>
      <c r="M43" s="33">
        <f>+M20+M32+M41</f>
        <v>5.6</v>
      </c>
    </row>
  </sheetData>
  <sheetProtection/>
  <mergeCells count="2">
    <mergeCell ref="B38:E38"/>
    <mergeCell ref="B39:E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2004-04-29T02:40:34Z</cp:lastPrinted>
  <dcterms:created xsi:type="dcterms:W3CDTF">2002-01-02T00:23:28Z</dcterms:created>
  <dcterms:modified xsi:type="dcterms:W3CDTF">2014-11-15T20:13:38Z</dcterms:modified>
  <cp:category/>
  <cp:version/>
  <cp:contentType/>
  <cp:contentStatus/>
</cp:coreProperties>
</file>